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ФСГС!$A$1:$AB$561</definedName>
  </definedNames>
  <calcPr calcId="152511"/>
</workbook>
</file>

<file path=xl/calcChain.xml><?xml version="1.0" encoding="utf-8"?>
<calcChain xmlns="http://schemas.openxmlformats.org/spreadsheetml/2006/main">
  <c r="X254" i="8" l="1"/>
  <c r="Y470" i="8" l="1"/>
  <c r="AA29" i="8"/>
  <c r="Y29" i="8"/>
  <c r="AA174" i="8"/>
  <c r="AA173" i="8"/>
  <c r="Z24" i="8" l="1"/>
  <c r="Y24" i="8"/>
  <c r="X24" i="8"/>
  <c r="X156" i="8"/>
  <c r="X478" i="8"/>
  <c r="X346" i="8" l="1"/>
  <c r="X495" i="8" l="1"/>
  <c r="X492" i="8"/>
  <c r="X489" i="8"/>
  <c r="X224" i="8"/>
  <c r="X223" i="8"/>
  <c r="X215" i="8"/>
  <c r="X167" i="8"/>
  <c r="X129" i="8"/>
  <c r="X110" i="8"/>
  <c r="X43" i="8"/>
  <c r="X102" i="8"/>
  <c r="X94" i="8"/>
  <c r="X61" i="8"/>
  <c r="X64" i="8"/>
  <c r="X59" i="8"/>
  <c r="X57" i="8" l="1"/>
  <c r="X72" i="8"/>
  <c r="X71" i="8"/>
  <c r="X69" i="8"/>
  <c r="X106" i="8"/>
  <c r="X143" i="8"/>
  <c r="X115" i="8"/>
  <c r="X123" i="8"/>
  <c r="X131" i="8"/>
  <c r="X152" i="8"/>
  <c r="X150" i="8"/>
  <c r="X161" i="8"/>
  <c r="X209" i="8"/>
  <c r="X302" i="8"/>
  <c r="X45" i="8" l="1"/>
  <c r="Y156" i="8"/>
  <c r="Y30" i="8"/>
  <c r="Z246" i="8" l="1"/>
  <c r="Z247" i="8"/>
  <c r="Y247" i="8"/>
  <c r="Y246" i="8"/>
  <c r="Z25" i="8" l="1"/>
  <c r="Y25" i="8"/>
  <c r="AA132" i="8" l="1"/>
  <c r="Y148" i="8"/>
  <c r="Z148" i="8"/>
  <c r="Y177" i="8" l="1"/>
  <c r="Y245" i="8"/>
  <c r="Z245" i="8"/>
  <c r="Y26" i="8" l="1"/>
  <c r="Z26" i="8"/>
  <c r="X25" i="8"/>
  <c r="T24" i="8" l="1"/>
  <c r="U24" i="8"/>
  <c r="V24" i="8"/>
  <c r="W24" i="8"/>
  <c r="Z30" i="8"/>
  <c r="X98" i="8" l="1"/>
  <c r="X165" i="8"/>
  <c r="X119" i="8"/>
  <c r="X84" i="8"/>
  <c r="X117" i="8"/>
  <c r="AA478" i="8" l="1"/>
  <c r="AA554" i="8"/>
  <c r="X470" i="8"/>
  <c r="X552" i="8" l="1"/>
  <c r="X544" i="8"/>
  <c r="X233" i="8"/>
  <c r="X232" i="8"/>
  <c r="X206" i="8"/>
  <c r="X449" i="8"/>
  <c r="X450" i="8"/>
  <c r="X120" i="8"/>
  <c r="X79" i="8"/>
  <c r="AA154" i="8"/>
  <c r="X148" i="8"/>
  <c r="X210" i="8" l="1"/>
  <c r="AA109" i="8" l="1"/>
  <c r="X108" i="8"/>
  <c r="Y108" i="8"/>
  <c r="Z108" i="8"/>
  <c r="W110" i="8"/>
  <c r="W108" i="8" s="1"/>
  <c r="V110" i="8"/>
  <c r="V108" i="8" s="1"/>
  <c r="U110" i="8"/>
  <c r="U108" i="8" s="1"/>
  <c r="T110" i="8"/>
  <c r="T108" i="8" s="1"/>
  <c r="AA110" i="8" l="1"/>
  <c r="AA108" i="8"/>
  <c r="X486" i="8" l="1"/>
  <c r="X207" i="8"/>
  <c r="X208" i="8"/>
  <c r="X163" i="8" l="1"/>
  <c r="AA71" i="8"/>
  <c r="X68" i="8"/>
  <c r="Y68" i="8"/>
  <c r="Z68" i="8"/>
  <c r="W72" i="8"/>
  <c r="W68" i="8" s="1"/>
  <c r="V72" i="8"/>
  <c r="V68" i="8" s="1"/>
  <c r="U72" i="8"/>
  <c r="U68" i="8" s="1"/>
  <c r="T72" i="8"/>
  <c r="T68" i="8" s="1"/>
  <c r="AA70" i="8"/>
  <c r="AA69" i="8"/>
  <c r="AA72" i="8" l="1"/>
  <c r="X146" i="8"/>
  <c r="X222" i="8" l="1"/>
  <c r="X90" i="8"/>
  <c r="X31" i="8" l="1"/>
  <c r="X201" i="8" l="1"/>
  <c r="X247" i="8"/>
  <c r="X433" i="8"/>
  <c r="X248" i="8"/>
  <c r="Y248" i="8"/>
  <c r="Z248" i="8"/>
  <c r="X204" i="8" l="1"/>
  <c r="AA232" i="8"/>
  <c r="AA224" i="8"/>
  <c r="AA208" i="8"/>
  <c r="W216" i="8"/>
  <c r="Y216" i="8"/>
  <c r="Z216" i="8"/>
  <c r="AA216" i="8" l="1"/>
  <c r="U33" i="8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W486" i="8" l="1"/>
  <c r="W90" i="8"/>
  <c r="W244" i="8" l="1"/>
  <c r="W495" i="8" l="1"/>
  <c r="W489" i="8"/>
  <c r="W167" i="8"/>
  <c r="W163" i="8"/>
  <c r="W123" i="8"/>
  <c r="W121" i="8"/>
  <c r="W117" i="8"/>
  <c r="W102" i="8"/>
  <c r="W94" i="8"/>
  <c r="W43" i="8"/>
  <c r="W152" i="8"/>
  <c r="W180" i="8" l="1"/>
  <c r="W181" i="8"/>
  <c r="X160" i="8" l="1"/>
  <c r="Y160" i="8"/>
  <c r="Z160" i="8"/>
  <c r="AA557" i="8" l="1"/>
  <c r="W156" i="8" l="1"/>
  <c r="W179" i="8" l="1"/>
  <c r="V179" i="8"/>
  <c r="W143" i="8" l="1"/>
  <c r="W64" i="8"/>
  <c r="W78" i="8"/>
  <c r="W79" i="8"/>
  <c r="W59" i="8"/>
  <c r="W492" i="8"/>
  <c r="W165" i="8"/>
  <c r="W119" i="8"/>
  <c r="W98" i="8"/>
  <c r="W84" i="8"/>
  <c r="W209" i="8"/>
  <c r="W254" i="8" l="1"/>
  <c r="W161" i="8"/>
  <c r="W57" i="8"/>
  <c r="X30" i="8" l="1"/>
  <c r="X26" i="8" s="1"/>
  <c r="Z503" i="8" l="1"/>
  <c r="Z504" i="8"/>
  <c r="Z505" i="8"/>
  <c r="Z508" i="8"/>
  <c r="Z511" i="8"/>
  <c r="Z514" i="8"/>
  <c r="Z502" i="8" l="1"/>
  <c r="AA133" i="8" l="1"/>
  <c r="AA134" i="8"/>
  <c r="AA130" i="8"/>
  <c r="X127" i="8"/>
  <c r="Y127" i="8"/>
  <c r="Z127" i="8"/>
  <c r="X128" i="8"/>
  <c r="Y128" i="8"/>
  <c r="Y27" i="8" s="1"/>
  <c r="Z128" i="8"/>
  <c r="W128" i="8"/>
  <c r="W127" i="8"/>
  <c r="X126" i="8"/>
  <c r="Y126" i="8"/>
  <c r="Z126" i="8"/>
  <c r="W135" i="8"/>
  <c r="W126" i="8" s="1"/>
  <c r="AA142" i="8"/>
  <c r="AA141" i="8"/>
  <c r="AA140" i="8"/>
  <c r="AA139" i="8"/>
  <c r="AA138" i="8"/>
  <c r="V135" i="8"/>
  <c r="U135" i="8"/>
  <c r="T135" i="8"/>
  <c r="AA128" i="8" l="1"/>
  <c r="Z27" i="8"/>
  <c r="AA135" i="8"/>
  <c r="AA129" i="8"/>
  <c r="AA131" i="8"/>
  <c r="AA27" i="8" l="1"/>
  <c r="AA451" i="8"/>
  <c r="AA452" i="8"/>
  <c r="V450" i="8"/>
  <c r="U450" i="8"/>
  <c r="W449" i="8"/>
  <c r="W448" i="8" s="1"/>
  <c r="V449" i="8"/>
  <c r="U449" i="8"/>
  <c r="Z448" i="8"/>
  <c r="Y448" i="8"/>
  <c r="X448" i="8"/>
  <c r="V448" i="8"/>
  <c r="U448" i="8"/>
  <c r="AA450" i="8" l="1"/>
  <c r="AA448" i="8"/>
  <c r="AA449" i="8"/>
  <c r="AA551" i="8" l="1"/>
  <c r="AA552" i="8"/>
  <c r="U550" i="8"/>
  <c r="V550" i="8"/>
  <c r="W550" i="8"/>
  <c r="X550" i="8"/>
  <c r="Y550" i="8"/>
  <c r="Z550" i="8"/>
  <c r="T550" i="8"/>
  <c r="AA550" i="8" l="1"/>
  <c r="W45" i="8"/>
  <c r="W30" i="8" s="1"/>
  <c r="W77" i="8" l="1"/>
  <c r="W150" i="8" l="1"/>
  <c r="W106" i="8"/>
  <c r="W544" i="8"/>
  <c r="W346" i="8"/>
  <c r="W61" i="8" l="1"/>
  <c r="W204" i="8" l="1"/>
  <c r="AA476" i="8" l="1"/>
  <c r="AA474" i="8"/>
  <c r="AA172" i="8"/>
  <c r="AA170" i="8"/>
  <c r="AA436" i="8" l="1"/>
  <c r="AA439" i="8"/>
  <c r="AA440" i="8"/>
  <c r="AA441" i="8"/>
  <c r="W433" i="8"/>
  <c r="AA340" i="8"/>
  <c r="AA342" i="8"/>
  <c r="AA346" i="8"/>
  <c r="AA347" i="8"/>
  <c r="AA348" i="8"/>
  <c r="AA349" i="8"/>
  <c r="X338" i="8"/>
  <c r="Y338" i="8"/>
  <c r="Z338" i="8"/>
  <c r="W338" i="8"/>
  <c r="AA297" i="8"/>
  <c r="AA299" i="8"/>
  <c r="AA302" i="8"/>
  <c r="AA303" i="8"/>
  <c r="AA304" i="8"/>
  <c r="X295" i="8"/>
  <c r="Y295" i="8"/>
  <c r="Z295" i="8"/>
  <c r="W295" i="8"/>
  <c r="AA257" i="8"/>
  <c r="AA258" i="8"/>
  <c r="AA259" i="8"/>
  <c r="AA256" i="8"/>
  <c r="AA250" i="8"/>
  <c r="AA254" i="8"/>
  <c r="AA255" i="8"/>
  <c r="W248" i="8"/>
  <c r="W470" i="8" l="1"/>
  <c r="W25" i="8" l="1"/>
  <c r="V253" i="8" l="1"/>
  <c r="U253" i="8"/>
  <c r="V252" i="8"/>
  <c r="U252" i="8"/>
  <c r="AA253" i="8" l="1"/>
  <c r="AA252" i="8"/>
  <c r="AA46" i="8"/>
  <c r="AA44" i="8"/>
  <c r="AA45" i="8"/>
  <c r="V151" i="8" l="1"/>
  <c r="U151" i="8"/>
  <c r="V43" i="8"/>
  <c r="U43" i="8"/>
  <c r="U504" i="8" l="1"/>
  <c r="V438" i="8" l="1"/>
  <c r="V233" i="8"/>
  <c r="V217" i="8"/>
  <c r="V143" i="8"/>
  <c r="V106" i="8"/>
  <c r="V102" i="8"/>
  <c r="V94" i="8"/>
  <c r="V98" i="8"/>
  <c r="V57" i="8"/>
  <c r="V64" i="8"/>
  <c r="V123" i="8"/>
  <c r="V148" i="8" l="1"/>
  <c r="AA153" i="8"/>
  <c r="W27" i="8" l="1"/>
  <c r="V156" i="8" l="1"/>
  <c r="U466" i="8" l="1"/>
  <c r="V466" i="8"/>
  <c r="U467" i="8"/>
  <c r="V467" i="8"/>
  <c r="W148" i="8"/>
  <c r="Z64" i="8" l="1"/>
  <c r="V121" i="8" l="1"/>
  <c r="V115" i="8" l="1"/>
  <c r="V181" i="8"/>
  <c r="X244" i="8"/>
  <c r="Y244" i="8"/>
  <c r="Z244" i="8"/>
  <c r="V244" i="8"/>
  <c r="U485" i="8"/>
  <c r="V485" i="8"/>
  <c r="W485" i="8"/>
  <c r="W482" i="8" s="1"/>
  <c r="X485" i="8"/>
  <c r="X482" i="8" s="1"/>
  <c r="Y485" i="8"/>
  <c r="Y482" i="8" s="1"/>
  <c r="Z485" i="8"/>
  <c r="Z482" i="8" s="1"/>
  <c r="T485" i="8"/>
  <c r="AA497" i="8"/>
  <c r="AA494" i="8"/>
  <c r="AA491" i="8"/>
  <c r="AA488" i="8"/>
  <c r="Z542" i="8"/>
  <c r="Z540" i="8" s="1"/>
  <c r="W542" i="8"/>
  <c r="X542" i="8"/>
  <c r="X540" i="8" s="1"/>
  <c r="Y542" i="8"/>
  <c r="V542" i="8"/>
  <c r="AA472" i="8"/>
  <c r="AA471" i="8"/>
  <c r="V470" i="8"/>
  <c r="U470" i="8"/>
  <c r="T470" i="8"/>
  <c r="V465" i="8"/>
  <c r="U465" i="8"/>
  <c r="X462" i="8"/>
  <c r="Y462" i="8"/>
  <c r="X456" i="8"/>
  <c r="Y456" i="8"/>
  <c r="X459" i="8"/>
  <c r="Y459" i="8"/>
  <c r="X453" i="8"/>
  <c r="Y453" i="8"/>
  <c r="Y454" i="8"/>
  <c r="W246" i="8"/>
  <c r="X246" i="8"/>
  <c r="W247" i="8"/>
  <c r="X445" i="8"/>
  <c r="X245" i="8" s="1"/>
  <c r="Y231" i="8"/>
  <c r="Y229" i="8" s="1"/>
  <c r="Z231" i="8"/>
  <c r="Z229" i="8" s="1"/>
  <c r="Y223" i="8"/>
  <c r="Y221" i="8" s="1"/>
  <c r="Z223" i="8"/>
  <c r="Z221" i="8" s="1"/>
  <c r="Y215" i="8"/>
  <c r="Y213" i="8" s="1"/>
  <c r="Z215" i="8"/>
  <c r="Z213" i="8" s="1"/>
  <c r="Y207" i="8"/>
  <c r="Z207" i="8"/>
  <c r="AA485" i="8" l="1"/>
  <c r="AA470" i="8"/>
  <c r="U161" i="8"/>
  <c r="AA161" i="8" s="1"/>
  <c r="U163" i="8"/>
  <c r="U165" i="8"/>
  <c r="AA165" i="8" s="1"/>
  <c r="U167" i="8"/>
  <c r="AA167" i="8" s="1"/>
  <c r="U159" i="8"/>
  <c r="AA168" i="8"/>
  <c r="AA166" i="8"/>
  <c r="AA164" i="8"/>
  <c r="AA162" i="8"/>
  <c r="W160" i="8"/>
  <c r="Z159" i="8"/>
  <c r="Y159" i="8"/>
  <c r="X159" i="8"/>
  <c r="W159" i="8"/>
  <c r="AA160" i="8" l="1"/>
  <c r="AA159" i="8"/>
  <c r="AA163" i="8"/>
  <c r="AA543" i="8"/>
  <c r="AA544" i="8"/>
  <c r="V437" i="8" l="1"/>
  <c r="V300" i="8"/>
  <c r="V301" i="8"/>
  <c r="AA301" i="8" s="1"/>
  <c r="V530" i="8"/>
  <c r="V532" i="8"/>
  <c r="V489" i="8"/>
  <c r="V495" i="8"/>
  <c r="V492" i="8"/>
  <c r="V117" i="8"/>
  <c r="V78" i="8"/>
  <c r="V79" i="8"/>
  <c r="V84" i="8"/>
  <c r="V83" i="8"/>
  <c r="V59" i="8"/>
  <c r="V61" i="8"/>
  <c r="V225" i="8"/>
  <c r="V209" i="8"/>
  <c r="V483" i="8" l="1"/>
  <c r="V247" i="8" l="1"/>
  <c r="V246" i="8"/>
  <c r="V433" i="8"/>
  <c r="V248" i="8"/>
  <c r="V295" i="8"/>
  <c r="V445" i="8" l="1"/>
  <c r="V245" i="8" s="1"/>
  <c r="V126" i="8" l="1"/>
  <c r="W231" i="8" l="1"/>
  <c r="W223" i="8"/>
  <c r="W215" i="8"/>
  <c r="W207" i="8"/>
  <c r="V25" i="8" l="1"/>
  <c r="W506" i="8"/>
  <c r="X506" i="8"/>
  <c r="V454" i="8"/>
  <c r="V462" i="8"/>
  <c r="V459" i="8"/>
  <c r="V456" i="8"/>
  <c r="V453" i="8"/>
  <c r="V204" i="8" l="1"/>
  <c r="V218" i="8" l="1"/>
  <c r="V219" i="8"/>
  <c r="AA219" i="8" s="1"/>
  <c r="V210" i="8"/>
  <c r="V211" i="8"/>
  <c r="V226" i="8"/>
  <c r="V227" i="8"/>
  <c r="V234" i="8"/>
  <c r="V235" i="8"/>
  <c r="AA107" i="8"/>
  <c r="W74" i="8"/>
  <c r="X74" i="8"/>
  <c r="Y74" i="8"/>
  <c r="Z74" i="8"/>
  <c r="T74" i="8"/>
  <c r="V231" i="8"/>
  <c r="V223" i="8"/>
  <c r="V215" i="8"/>
  <c r="V207" i="8"/>
  <c r="V518" i="8" l="1"/>
  <c r="V513" i="8"/>
  <c r="V510" i="8"/>
  <c r="V507" i="8"/>
  <c r="V506" i="8"/>
  <c r="V509" i="8"/>
  <c r="V512" i="8"/>
  <c r="V515" i="8"/>
  <c r="AA82" i="8"/>
  <c r="V81" i="8"/>
  <c r="W81" i="8"/>
  <c r="X81" i="8"/>
  <c r="Y81" i="8"/>
  <c r="Z81" i="8"/>
  <c r="AA83" i="8"/>
  <c r="U84" i="8"/>
  <c r="U81" i="8" s="1"/>
  <c r="T84" i="8"/>
  <c r="AA77" i="8"/>
  <c r="V74" i="8"/>
  <c r="AA84" i="8" l="1"/>
  <c r="V66" i="8"/>
  <c r="T81" i="8"/>
  <c r="AA81" i="8" s="1"/>
  <c r="AA78" i="8"/>
  <c r="U98" i="8"/>
  <c r="U437" i="8" l="1"/>
  <c r="AA437" i="8" s="1"/>
  <c r="U343" i="8"/>
  <c r="AA343" i="8" s="1"/>
  <c r="U300" i="8"/>
  <c r="AA300" i="8" s="1"/>
  <c r="U152" i="8" l="1"/>
  <c r="U150" i="8"/>
  <c r="AA38" i="8"/>
  <c r="AA156" i="8"/>
  <c r="AA144" i="8"/>
  <c r="U244" i="8" l="1"/>
  <c r="U25" i="8" l="1"/>
  <c r="U181" i="8"/>
  <c r="U179" i="8"/>
  <c r="U117" i="8"/>
  <c r="U542" i="8"/>
  <c r="U143" i="8"/>
  <c r="U438" i="8"/>
  <c r="U532" i="8"/>
  <c r="U495" i="8"/>
  <c r="U231" i="8"/>
  <c r="U233" i="8"/>
  <c r="U102" i="8"/>
  <c r="U64" i="8"/>
  <c r="U528" i="8"/>
  <c r="U489" i="8"/>
  <c r="U215" i="8"/>
  <c r="U214" i="8"/>
  <c r="U217" i="8"/>
  <c r="U94" i="8"/>
  <c r="U76" i="8"/>
  <c r="U74" i="8" s="1"/>
  <c r="U59" i="8"/>
  <c r="U433" i="8" l="1"/>
  <c r="AA438" i="8"/>
  <c r="U345" i="8"/>
  <c r="AA345" i="8" s="1"/>
  <c r="U344" i="8"/>
  <c r="AA344" i="8" s="1"/>
  <c r="U530" i="8"/>
  <c r="U492" i="8"/>
  <c r="U223" i="8"/>
  <c r="U225" i="8"/>
  <c r="U119" i="8"/>
  <c r="U61" i="8"/>
  <c r="U209" i="8"/>
  <c r="U207" i="8"/>
  <c r="AA207" i="8" s="1"/>
  <c r="U57" i="8"/>
  <c r="U106" i="8" l="1"/>
  <c r="U123" i="8" l="1"/>
  <c r="U445" i="8"/>
  <c r="U555" i="8"/>
  <c r="AA555" i="8" s="1"/>
  <c r="AA545" i="8" l="1"/>
  <c r="W540" i="8" l="1"/>
  <c r="X508" i="8" l="1"/>
  <c r="X511" i="8"/>
  <c r="X514" i="8"/>
  <c r="X503" i="8"/>
  <c r="X27" i="8"/>
  <c r="U126" i="8" l="1"/>
  <c r="U148" i="8" l="1"/>
  <c r="AA75" i="8" l="1"/>
  <c r="AA76" i="8"/>
  <c r="AA79" i="8"/>
  <c r="V145" i="8" l="1"/>
  <c r="W145" i="8"/>
  <c r="X145" i="8"/>
  <c r="Y145" i="8"/>
  <c r="Z145" i="8"/>
  <c r="U145" i="8" l="1"/>
  <c r="U487" i="8"/>
  <c r="U116" i="8"/>
  <c r="U90" i="8" l="1"/>
  <c r="U486" i="8"/>
  <c r="U230" i="8"/>
  <c r="U222" i="8"/>
  <c r="U206" i="8"/>
  <c r="U115" i="8"/>
  <c r="AA499" i="8" l="1"/>
  <c r="AA498" i="8"/>
  <c r="U246" i="8" l="1"/>
  <c r="U462" i="8"/>
  <c r="U459" i="8"/>
  <c r="U456" i="8"/>
  <c r="U453" i="8"/>
  <c r="U157" i="8"/>
  <c r="AA151" i="8" l="1"/>
  <c r="U238" i="8" l="1"/>
  <c r="U239" i="8"/>
  <c r="U201" i="8"/>
  <c r="U229" i="8"/>
  <c r="AA230" i="8"/>
  <c r="V229" i="8"/>
  <c r="W229" i="8"/>
  <c r="X229" i="8"/>
  <c r="V221" i="8"/>
  <c r="W221" i="8"/>
  <c r="X221" i="8"/>
  <c r="U221" i="8"/>
  <c r="AA222" i="8"/>
  <c r="V213" i="8"/>
  <c r="W213" i="8"/>
  <c r="X213" i="8"/>
  <c r="U213" i="8"/>
  <c r="T214" i="8"/>
  <c r="AA214" i="8" s="1"/>
  <c r="V205" i="8"/>
  <c r="W205" i="8"/>
  <c r="X205" i="8"/>
  <c r="Y205" i="8"/>
  <c r="Z205" i="8"/>
  <c r="AA206" i="8"/>
  <c r="AA209" i="8"/>
  <c r="AA149" i="8"/>
  <c r="AA150" i="8"/>
  <c r="U247" i="8"/>
  <c r="U338" i="8"/>
  <c r="U295" i="8"/>
  <c r="U205" i="8" l="1"/>
  <c r="U248" i="8"/>
  <c r="U245" i="8" s="1"/>
  <c r="W245" i="8"/>
  <c r="U146" i="8" l="1"/>
  <c r="U121" i="8" l="1"/>
  <c r="U203" i="8" l="1"/>
  <c r="U176" i="8" s="1"/>
  <c r="V203" i="8" l="1"/>
  <c r="W203" i="8"/>
  <c r="W176" i="8" s="1"/>
  <c r="X203" i="8"/>
  <c r="X176" i="8" s="1"/>
  <c r="Y203" i="8"/>
  <c r="Y176" i="8" s="1"/>
  <c r="Z203" i="8"/>
  <c r="V201" i="8"/>
  <c r="W201" i="8"/>
  <c r="W177" i="8" s="1"/>
  <c r="X177" i="8"/>
  <c r="Y201" i="8"/>
  <c r="Z201" i="8"/>
  <c r="AA25" i="8"/>
  <c r="AA24" i="8"/>
  <c r="X483" i="8"/>
  <c r="U204" i="8" l="1"/>
  <c r="AA204" i="8" s="1"/>
  <c r="AA228" i="8"/>
  <c r="AA227" i="8"/>
  <c r="AA226" i="8"/>
  <c r="AA220" i="8"/>
  <c r="AA212" i="8"/>
  <c r="AA235" i="8"/>
  <c r="AA236" i="8"/>
  <c r="AA234" i="8"/>
  <c r="AA522" i="8"/>
  <c r="AA542" i="8" l="1"/>
  <c r="AA507" i="8"/>
  <c r="AA147" i="8"/>
  <c r="AA125" i="8"/>
  <c r="AA105" i="8"/>
  <c r="AA103" i="8"/>
  <c r="AA101" i="8"/>
  <c r="AA99" i="8"/>
  <c r="AA97" i="8"/>
  <c r="AA95" i="8"/>
  <c r="AA93" i="8"/>
  <c r="AA91" i="8"/>
  <c r="AA118" i="8"/>
  <c r="AA122" i="8"/>
  <c r="AA120" i="8"/>
  <c r="AA155" i="8"/>
  <c r="AA48" i="8"/>
  <c r="Z114" i="8"/>
  <c r="Z113" i="8"/>
  <c r="Z89" i="8"/>
  <c r="Z36" i="8" s="1"/>
  <c r="Z88" i="8"/>
  <c r="Z87" i="8"/>
  <c r="Z86" i="8"/>
  <c r="Z67" i="8"/>
  <c r="Z35" i="8" s="1"/>
  <c r="Z66" i="8"/>
  <c r="Z56" i="8"/>
  <c r="Z55" i="8"/>
  <c r="Z49" i="8"/>
  <c r="Z39" i="8"/>
  <c r="Z146" i="8"/>
  <c r="AA217" i="8"/>
  <c r="AA233" i="8"/>
  <c r="AA225" i="8"/>
  <c r="AA462" i="8"/>
  <c r="AA456" i="8"/>
  <c r="AA453" i="8"/>
  <c r="AA501" i="8"/>
  <c r="AA500" i="8"/>
  <c r="AA496" i="8"/>
  <c r="AA493" i="8"/>
  <c r="AA490" i="8"/>
  <c r="AA487" i="8"/>
  <c r="Z484" i="8"/>
  <c r="Z480" i="8" s="1"/>
  <c r="Z483" i="8"/>
  <c r="AA464" i="8"/>
  <c r="AA463" i="8"/>
  <c r="AA461" i="8"/>
  <c r="AA460" i="8"/>
  <c r="AA459" i="8"/>
  <c r="AA458" i="8"/>
  <c r="AA457" i="8"/>
  <c r="AA455" i="8"/>
  <c r="AA454" i="8"/>
  <c r="AA447" i="8"/>
  <c r="AA446" i="8"/>
  <c r="Z177" i="8"/>
  <c r="Y183" i="8"/>
  <c r="Z184" i="8"/>
  <c r="Z185" i="8"/>
  <c r="AA195" i="8"/>
  <c r="AA197" i="8"/>
  <c r="AA218" i="8"/>
  <c r="AA211" i="8"/>
  <c r="AA210" i="8"/>
  <c r="Z200" i="8"/>
  <c r="Z199" i="8"/>
  <c r="AA238" i="8"/>
  <c r="AA242" i="8"/>
  <c r="AA241" i="8"/>
  <c r="Z237" i="8"/>
  <c r="AA523" i="8"/>
  <c r="AA520" i="8"/>
  <c r="AA521" i="8"/>
  <c r="AA518" i="8"/>
  <c r="AA513" i="8"/>
  <c r="AA510" i="8"/>
  <c r="AA516" i="8"/>
  <c r="Z481" i="8"/>
  <c r="U515" i="8"/>
  <c r="U512" i="8"/>
  <c r="U509" i="8"/>
  <c r="U506" i="8"/>
  <c r="Z34" i="8" l="1"/>
  <c r="AA56" i="8"/>
  <c r="Z183" i="8"/>
  <c r="Z176" i="8"/>
  <c r="Z29" i="8"/>
  <c r="U519" i="8"/>
  <c r="AA519" i="8" s="1"/>
  <c r="Z198" i="8"/>
  <c r="Z175" i="8" s="1"/>
  <c r="AA539" i="8"/>
  <c r="AA537" i="8"/>
  <c r="AA534" i="8"/>
  <c r="AA536" i="8"/>
  <c r="Z525" i="8"/>
  <c r="AA527" i="8"/>
  <c r="AA529" i="8"/>
  <c r="AA531" i="8"/>
  <c r="AA533" i="8"/>
  <c r="Z524" i="8"/>
  <c r="AA547" i="8"/>
  <c r="AA548" i="8"/>
  <c r="AA549" i="8"/>
  <c r="AA546" i="8"/>
  <c r="Z541" i="8"/>
  <c r="AA152" i="8"/>
  <c r="U503" i="8" l="1"/>
  <c r="Z479" i="8"/>
  <c r="AA148" i="8"/>
  <c r="AA231" i="8"/>
  <c r="AA223" i="8"/>
  <c r="AA215" i="8"/>
  <c r="Z15" i="8" l="1"/>
  <c r="X484" i="8"/>
  <c r="U483" i="8"/>
  <c r="W483" i="8"/>
  <c r="Y483" i="8"/>
  <c r="U484" i="8"/>
  <c r="V484" i="8"/>
  <c r="W484" i="8"/>
  <c r="Y484" i="8"/>
  <c r="T484" i="8"/>
  <c r="AA484" i="8" l="1"/>
  <c r="T64" i="8" l="1"/>
  <c r="AA64" i="8" s="1"/>
  <c r="U89" i="8" l="1"/>
  <c r="U36" i="8" s="1"/>
  <c r="AA158" i="8"/>
  <c r="AA157" i="8"/>
  <c r="T43" i="8" l="1"/>
  <c r="T178" i="8" l="1"/>
  <c r="T246" i="8" l="1"/>
  <c r="T181" i="8" l="1"/>
  <c r="T179" i="8" l="1"/>
  <c r="T25" i="8" l="1"/>
  <c r="T244" i="8" l="1"/>
  <c r="AA244" i="8" s="1"/>
  <c r="T106" i="8" l="1"/>
  <c r="AA106" i="8" s="1"/>
  <c r="T239" i="8"/>
  <c r="AA239" i="8" s="1"/>
  <c r="T240" i="8"/>
  <c r="AA240" i="8" s="1"/>
  <c r="T42" i="8"/>
  <c r="T126" i="8"/>
  <c r="AA126" i="8" s="1"/>
  <c r="T123" i="8"/>
  <c r="AA123" i="8" s="1"/>
  <c r="T532" i="8"/>
  <c r="AA532" i="8" s="1"/>
  <c r="T495" i="8"/>
  <c r="AA495" i="8" s="1"/>
  <c r="T192" i="8"/>
  <c r="T121" i="8"/>
  <c r="AA121" i="8" s="1"/>
  <c r="T102" i="8"/>
  <c r="AA102" i="8" s="1"/>
  <c r="T117" i="8"/>
  <c r="AA117" i="8" s="1"/>
  <c r="T98" i="8"/>
  <c r="AA98" i="8" s="1"/>
  <c r="T94" i="8"/>
  <c r="AA94" i="8" s="1"/>
  <c r="T59" i="8"/>
  <c r="AA59" i="8" s="1"/>
  <c r="T492" i="8"/>
  <c r="AA492" i="8" s="1"/>
  <c r="T61" i="8"/>
  <c r="AA61" i="8" s="1"/>
  <c r="T526" i="8"/>
  <c r="AA526" i="8" s="1"/>
  <c r="T486" i="8"/>
  <c r="AA486" i="8" s="1"/>
  <c r="T115" i="8"/>
  <c r="AA115" i="8" s="1"/>
  <c r="T90" i="8"/>
  <c r="AA90" i="8" s="1"/>
  <c r="AA68" i="8"/>
  <c r="AA111" i="8" l="1"/>
  <c r="T247" i="8" l="1"/>
  <c r="AA247" i="8" s="1"/>
  <c r="AA553" i="8" l="1"/>
  <c r="U27" i="8" l="1"/>
  <c r="V27" i="8"/>
  <c r="T27" i="8"/>
  <c r="U185" i="8" l="1"/>
  <c r="V185" i="8"/>
  <c r="W185" i="8"/>
  <c r="X185" i="8"/>
  <c r="Y185" i="8"/>
  <c r="T185" i="8"/>
  <c r="AA185" i="8" s="1"/>
  <c r="V183" i="8"/>
  <c r="U31" i="8"/>
  <c r="V31" i="8"/>
  <c r="W31" i="8"/>
  <c r="T31" i="8"/>
  <c r="U30" i="8"/>
  <c r="U26" i="8" s="1"/>
  <c r="V30" i="8"/>
  <c r="V26" i="8" s="1"/>
  <c r="W26" i="8"/>
  <c r="T30" i="8"/>
  <c r="T26" i="8" s="1"/>
  <c r="AA26" i="8" s="1"/>
  <c r="AA30" i="8" l="1"/>
  <c r="AA183" i="8"/>
  <c r="Y89" i="8" l="1"/>
  <c r="Y36" i="8" s="1"/>
  <c r="T89" i="8"/>
  <c r="X89" i="8"/>
  <c r="X36" i="8" s="1"/>
  <c r="W89" i="8"/>
  <c r="W36" i="8" s="1"/>
  <c r="U540" i="8"/>
  <c r="V540" i="8"/>
  <c r="Y540" i="8"/>
  <c r="T540" i="8"/>
  <c r="AA540" i="8" l="1"/>
  <c r="T36" i="8"/>
  <c r="V89" i="8"/>
  <c r="V36" i="8" s="1"/>
  <c r="T229" i="8"/>
  <c r="T221" i="8"/>
  <c r="T213" i="8"/>
  <c r="T205" i="8"/>
  <c r="AA205" i="8" s="1"/>
  <c r="U86" i="8"/>
  <c r="AA36" i="8" l="1"/>
  <c r="AA229" i="8"/>
  <c r="AA89" i="8"/>
  <c r="AA213" i="8"/>
  <c r="AA221" i="8"/>
  <c r="AA193" i="8"/>
  <c r="AA191" i="8"/>
  <c r="AA189" i="8"/>
  <c r="AA187" i="8"/>
  <c r="T201" i="8"/>
  <c r="T116" i="8"/>
  <c r="T57" i="8"/>
  <c r="AA57" i="8" s="1"/>
  <c r="AA192" i="8"/>
  <c r="T528" i="8"/>
  <c r="AA528" i="8" s="1"/>
  <c r="T530" i="8"/>
  <c r="AA530" i="8" s="1"/>
  <c r="T489" i="8"/>
  <c r="AA489" i="8" s="1"/>
  <c r="T445" i="8"/>
  <c r="AA445" i="8" s="1"/>
  <c r="T119" i="8"/>
  <c r="AA119" i="8" s="1"/>
  <c r="AA74" i="8"/>
  <c r="AA42" i="8"/>
  <c r="T146" i="8"/>
  <c r="T188" i="8"/>
  <c r="AA188" i="8" s="1"/>
  <c r="Y541" i="8"/>
  <c r="X541" i="8"/>
  <c r="W541" i="8"/>
  <c r="V541" i="8"/>
  <c r="U541" i="8"/>
  <c r="T541" i="8"/>
  <c r="AA541" i="8"/>
  <c r="AA538" i="8"/>
  <c r="Y525" i="8"/>
  <c r="X525" i="8"/>
  <c r="W525" i="8"/>
  <c r="V525" i="8"/>
  <c r="V482" i="8" s="1"/>
  <c r="U525" i="8"/>
  <c r="U482" i="8" s="1"/>
  <c r="Y524" i="8"/>
  <c r="X524" i="8"/>
  <c r="W524" i="8"/>
  <c r="V524" i="8"/>
  <c r="U524" i="8"/>
  <c r="U479" i="8" s="1"/>
  <c r="AA517" i="8"/>
  <c r="T515" i="8"/>
  <c r="Y514" i="8"/>
  <c r="W514" i="8"/>
  <c r="V514" i="8"/>
  <c r="U514" i="8"/>
  <c r="T514" i="8"/>
  <c r="T512" i="8"/>
  <c r="Y511" i="8"/>
  <c r="W511" i="8"/>
  <c r="V511" i="8"/>
  <c r="U511" i="8"/>
  <c r="T511" i="8"/>
  <c r="T509" i="8"/>
  <c r="Y508" i="8"/>
  <c r="W508" i="8"/>
  <c r="V508" i="8"/>
  <c r="U508" i="8"/>
  <c r="T508" i="8"/>
  <c r="T506" i="8"/>
  <c r="Y505" i="8"/>
  <c r="X505" i="8"/>
  <c r="W505" i="8"/>
  <c r="V505" i="8"/>
  <c r="U505" i="8"/>
  <c r="T505" i="8"/>
  <c r="Y504" i="8"/>
  <c r="Y481" i="8" s="1"/>
  <c r="X504" i="8"/>
  <c r="X481" i="8" s="1"/>
  <c r="W504" i="8"/>
  <c r="W481" i="8" s="1"/>
  <c r="V504" i="8"/>
  <c r="V481" i="8" s="1"/>
  <c r="U481" i="8"/>
  <c r="T504" i="8"/>
  <c r="Y480" i="8"/>
  <c r="X480" i="8"/>
  <c r="W480" i="8"/>
  <c r="V480" i="8"/>
  <c r="U480" i="8"/>
  <c r="AA444" i="8"/>
  <c r="AA443" i="8"/>
  <c r="AA442" i="8"/>
  <c r="AA435" i="8"/>
  <c r="AA434" i="8"/>
  <c r="AA432" i="8"/>
  <c r="AA431" i="8"/>
  <c r="AA430" i="8"/>
  <c r="AA429" i="8"/>
  <c r="AA428" i="8"/>
  <c r="AA427" i="8"/>
  <c r="T426" i="8"/>
  <c r="AA426" i="8" s="1"/>
  <c r="AA425" i="8"/>
  <c r="AA424" i="8"/>
  <c r="AA423" i="8"/>
  <c r="AA422" i="8"/>
  <c r="AA421" i="8"/>
  <c r="T420" i="8"/>
  <c r="AA420" i="8" s="1"/>
  <c r="AA419" i="8"/>
  <c r="AA418" i="8"/>
  <c r="AA417" i="8"/>
  <c r="AA416" i="8"/>
  <c r="AA415" i="8"/>
  <c r="T414" i="8"/>
  <c r="AA414" i="8" s="1"/>
  <c r="AA413" i="8"/>
  <c r="AA412" i="8"/>
  <c r="AA411" i="8"/>
  <c r="AA410" i="8"/>
  <c r="AA409" i="8"/>
  <c r="AA408" i="8"/>
  <c r="T407" i="8"/>
  <c r="AA407" i="8" s="1"/>
  <c r="AA406" i="8"/>
  <c r="AA405" i="8"/>
  <c r="AA404" i="8"/>
  <c r="AA403" i="8"/>
  <c r="AA402" i="8"/>
  <c r="AA401" i="8"/>
  <c r="T400" i="8"/>
  <c r="AA400" i="8" s="1"/>
  <c r="AA399" i="8"/>
  <c r="AA398" i="8"/>
  <c r="AA397" i="8"/>
  <c r="AA396" i="8"/>
  <c r="AA395" i="8"/>
  <c r="AA394" i="8"/>
  <c r="T393" i="8"/>
  <c r="AA393" i="8" s="1"/>
  <c r="AA392" i="8"/>
  <c r="AA391" i="8"/>
  <c r="AA390" i="8"/>
  <c r="AA389" i="8"/>
  <c r="AA388" i="8"/>
  <c r="AA387" i="8"/>
  <c r="T386" i="8"/>
  <c r="AA386" i="8" s="1"/>
  <c r="AA385" i="8"/>
  <c r="AA384" i="8"/>
  <c r="AA383" i="8"/>
  <c r="AA382" i="8"/>
  <c r="AA381" i="8"/>
  <c r="AA380" i="8"/>
  <c r="T379" i="8"/>
  <c r="AA379" i="8" s="1"/>
  <c r="AA378" i="8"/>
  <c r="AA377" i="8"/>
  <c r="AA376" i="8"/>
  <c r="AA375" i="8"/>
  <c r="AA374" i="8"/>
  <c r="AA373" i="8"/>
  <c r="T372" i="8"/>
  <c r="AA372" i="8" s="1"/>
  <c r="AA371" i="8"/>
  <c r="AA370" i="8"/>
  <c r="AA369" i="8"/>
  <c r="AA368" i="8"/>
  <c r="AA367" i="8"/>
  <c r="AA366" i="8"/>
  <c r="T365" i="8"/>
  <c r="AA365" i="8" s="1"/>
  <c r="AA364" i="8"/>
  <c r="AA363" i="8"/>
  <c r="AA362" i="8"/>
  <c r="AA361" i="8"/>
  <c r="AA360" i="8"/>
  <c r="AA359" i="8"/>
  <c r="T358" i="8"/>
  <c r="AA358" i="8" s="1"/>
  <c r="AA357" i="8"/>
  <c r="AA356" i="8"/>
  <c r="AA355" i="8"/>
  <c r="AA354" i="8"/>
  <c r="AA353" i="8"/>
  <c r="T352" i="8"/>
  <c r="AA352" i="8" s="1"/>
  <c r="AA351" i="8"/>
  <c r="AA350" i="8"/>
  <c r="T341" i="8"/>
  <c r="AA341" i="8" s="1"/>
  <c r="T339" i="8"/>
  <c r="AA339" i="8" s="1"/>
  <c r="AA337" i="8"/>
  <c r="AA336" i="8"/>
  <c r="AA335" i="8"/>
  <c r="AA334" i="8"/>
  <c r="T333" i="8"/>
  <c r="AA333" i="8" s="1"/>
  <c r="AA332" i="8"/>
  <c r="AA331" i="8"/>
  <c r="AA330" i="8"/>
  <c r="AA329" i="8"/>
  <c r="T328" i="8"/>
  <c r="AA328" i="8" s="1"/>
  <c r="AA327" i="8"/>
  <c r="AA326" i="8"/>
  <c r="AA325" i="8"/>
  <c r="AA324" i="8"/>
  <c r="T323" i="8"/>
  <c r="AA322" i="8"/>
  <c r="AA321" i="8"/>
  <c r="AA320" i="8"/>
  <c r="AA319" i="8"/>
  <c r="T318" i="8"/>
  <c r="AA318" i="8" s="1"/>
  <c r="AA317" i="8"/>
  <c r="AA316" i="8"/>
  <c r="AA315" i="8"/>
  <c r="AA314" i="8"/>
  <c r="T313" i="8"/>
  <c r="AA313" i="8" s="1"/>
  <c r="AA312" i="8"/>
  <c r="AA311" i="8"/>
  <c r="AA310" i="8"/>
  <c r="AA309" i="8"/>
  <c r="AA308" i="8"/>
  <c r="T307" i="8"/>
  <c r="AA307" i="8" s="1"/>
  <c r="AA306" i="8"/>
  <c r="AA305" i="8"/>
  <c r="T298" i="8"/>
  <c r="AA298" i="8" s="1"/>
  <c r="T296" i="8"/>
  <c r="AA296" i="8" s="1"/>
  <c r="AA294" i="8"/>
  <c r="AA293" i="8"/>
  <c r="AA292" i="8"/>
  <c r="AA291" i="8"/>
  <c r="AA290" i="8"/>
  <c r="T289" i="8"/>
  <c r="AA289" i="8" s="1"/>
  <c r="AA288" i="8"/>
  <c r="AA287" i="8"/>
  <c r="AA286" i="8"/>
  <c r="AA285" i="8"/>
  <c r="AA284" i="8"/>
  <c r="AA283" i="8"/>
  <c r="T282" i="8"/>
  <c r="AA282" i="8" s="1"/>
  <c r="AA281" i="8"/>
  <c r="AA280" i="8"/>
  <c r="AA279" i="8"/>
  <c r="AA278" i="8"/>
  <c r="AA277" i="8"/>
  <c r="T276" i="8"/>
  <c r="AA276" i="8" s="1"/>
  <c r="AA275" i="8"/>
  <c r="AA274" i="8"/>
  <c r="AA273" i="8"/>
  <c r="AA272" i="8"/>
  <c r="AA271" i="8"/>
  <c r="T270" i="8"/>
  <c r="AA269" i="8"/>
  <c r="AA268" i="8"/>
  <c r="AA267" i="8"/>
  <c r="AA266" i="8"/>
  <c r="T265" i="8"/>
  <c r="AA265" i="8" s="1"/>
  <c r="AA264" i="8"/>
  <c r="AD263" i="8"/>
  <c r="AA263" i="8"/>
  <c r="AD262" i="8"/>
  <c r="AA262" i="8"/>
  <c r="AD261" i="8"/>
  <c r="AA261" i="8"/>
  <c r="AD260" i="8"/>
  <c r="T260" i="8"/>
  <c r="AA260" i="8" s="1"/>
  <c r="T249" i="8"/>
  <c r="AA249" i="8" s="1"/>
  <c r="Y237" i="8"/>
  <c r="Y198" i="8" s="1"/>
  <c r="X237" i="8"/>
  <c r="X198" i="8" s="1"/>
  <c r="W237" i="8"/>
  <c r="W198" i="8" s="1"/>
  <c r="V237" i="8"/>
  <c r="V198" i="8" s="1"/>
  <c r="U237" i="8"/>
  <c r="V176" i="8"/>
  <c r="T203" i="8"/>
  <c r="T202" i="8"/>
  <c r="Y200" i="8"/>
  <c r="X200" i="8"/>
  <c r="W200" i="8"/>
  <c r="V200" i="8"/>
  <c r="U200" i="8"/>
  <c r="Y199" i="8"/>
  <c r="X199" i="8"/>
  <c r="W199" i="8"/>
  <c r="V199" i="8"/>
  <c r="U199" i="8"/>
  <c r="AA190" i="8"/>
  <c r="AA186" i="8"/>
  <c r="Y184" i="8"/>
  <c r="X184" i="8"/>
  <c r="W184" i="8"/>
  <c r="V184" i="8"/>
  <c r="U184" i="8"/>
  <c r="Y146" i="8"/>
  <c r="W146" i="8"/>
  <c r="V146" i="8"/>
  <c r="T143" i="8"/>
  <c r="AA143" i="8" s="1"/>
  <c r="Y114" i="8"/>
  <c r="X114" i="8"/>
  <c r="W114" i="8"/>
  <c r="V114" i="8"/>
  <c r="U114" i="8"/>
  <c r="Y113" i="8"/>
  <c r="X113" i="8"/>
  <c r="W113" i="8"/>
  <c r="V113" i="8"/>
  <c r="U113" i="8"/>
  <c r="Y88" i="8"/>
  <c r="X88" i="8"/>
  <c r="W88" i="8"/>
  <c r="V88" i="8"/>
  <c r="U88" i="8"/>
  <c r="T88" i="8"/>
  <c r="Y87" i="8"/>
  <c r="X87" i="8"/>
  <c r="W87" i="8"/>
  <c r="V87" i="8"/>
  <c r="U87" i="8"/>
  <c r="T87" i="8"/>
  <c r="Y86" i="8"/>
  <c r="X86" i="8"/>
  <c r="W86" i="8"/>
  <c r="V86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AA31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X29" i="8" l="1"/>
  <c r="W175" i="8"/>
  <c r="V29" i="8"/>
  <c r="AA270" i="8"/>
  <c r="AA251" i="8"/>
  <c r="X175" i="8"/>
  <c r="Y175" i="8"/>
  <c r="W29" i="8"/>
  <c r="U29" i="8"/>
  <c r="T295" i="8"/>
  <c r="AA295" i="8" s="1"/>
  <c r="AA33" i="8"/>
  <c r="AA524" i="8"/>
  <c r="AA506" i="8"/>
  <c r="AA201" i="8"/>
  <c r="AA28" i="8"/>
  <c r="AA87" i="8"/>
  <c r="T176" i="8"/>
  <c r="AA176" i="8" s="1"/>
  <c r="AA203" i="8"/>
  <c r="AA509" i="8"/>
  <c r="AA146" i="8"/>
  <c r="AA512" i="8"/>
  <c r="U198" i="8"/>
  <c r="U175" i="8" s="1"/>
  <c r="AA515" i="8"/>
  <c r="AA246" i="8"/>
  <c r="T114" i="8"/>
  <c r="AA114" i="8" s="1"/>
  <c r="AA116" i="8"/>
  <c r="T483" i="8"/>
  <c r="AA483" i="8" s="1"/>
  <c r="T481" i="8"/>
  <c r="AA481" i="8" s="1"/>
  <c r="AA504" i="8"/>
  <c r="U177" i="8"/>
  <c r="T338" i="8"/>
  <c r="AA338" i="8" s="1"/>
  <c r="V177" i="8"/>
  <c r="T177" i="8"/>
  <c r="V175" i="8"/>
  <c r="T525" i="8"/>
  <c r="AA525" i="8" s="1"/>
  <c r="T502" i="8"/>
  <c r="X479" i="8"/>
  <c r="AA508" i="8"/>
  <c r="AA514" i="8"/>
  <c r="V502" i="8"/>
  <c r="Y502" i="8"/>
  <c r="AA505" i="8"/>
  <c r="AA511" i="8"/>
  <c r="X502" i="8"/>
  <c r="T524" i="8"/>
  <c r="W502" i="8"/>
  <c r="T66" i="8"/>
  <c r="AA66" i="8" s="1"/>
  <c r="T503" i="8"/>
  <c r="AA49" i="8"/>
  <c r="U502" i="8"/>
  <c r="T200" i="8"/>
  <c r="AA200" i="8" s="1"/>
  <c r="T113" i="8"/>
  <c r="AA113" i="8" s="1"/>
  <c r="AD264" i="8"/>
  <c r="AA323" i="8"/>
  <c r="T433" i="8"/>
  <c r="AA433" i="8" s="1"/>
  <c r="V503" i="8"/>
  <c r="V479" i="8" s="1"/>
  <c r="T184" i="8"/>
  <c r="AA184" i="8" s="1"/>
  <c r="T199" i="8"/>
  <c r="AA199" i="8" s="1"/>
  <c r="Y503" i="8"/>
  <c r="Y479" i="8" s="1"/>
  <c r="W503" i="8"/>
  <c r="W479" i="8" s="1"/>
  <c r="T86" i="8"/>
  <c r="AA86" i="8" s="1"/>
  <c r="T237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X178" i="8" l="1"/>
  <c r="W178" i="8"/>
  <c r="T248" i="8"/>
  <c r="V178" i="8"/>
  <c r="Z178" i="8"/>
  <c r="AA178" i="8" s="1"/>
  <c r="V15" i="8"/>
  <c r="U178" i="8"/>
  <c r="Y178" i="8"/>
  <c r="AA177" i="8"/>
  <c r="U15" i="8"/>
  <c r="X15" i="8"/>
  <c r="Y15" i="8"/>
  <c r="W15" i="8"/>
  <c r="AA503" i="8"/>
  <c r="T198" i="8"/>
  <c r="AA198" i="8" s="1"/>
  <c r="AA237" i="8"/>
  <c r="T29" i="8"/>
  <c r="T482" i="8"/>
  <c r="AA482" i="8" s="1"/>
  <c r="AA502" i="8"/>
  <c r="T479" i="8"/>
  <c r="AA479" i="8" s="1"/>
  <c r="T480" i="8"/>
  <c r="AA480" i="8" s="1"/>
  <c r="AA39" i="8"/>
  <c r="AA18" i="8"/>
  <c r="AA21" i="8"/>
  <c r="AA16" i="8"/>
  <c r="AA15" i="8" l="1"/>
  <c r="AA248" i="8"/>
  <c r="T245" i="8"/>
  <c r="T175" i="8" s="1"/>
  <c r="AA245" i="8" l="1"/>
  <c r="AA175" i="8"/>
  <c r="T15" i="8" l="1"/>
</calcChain>
</file>

<file path=xl/sharedStrings.xml><?xml version="1.0" encoding="utf-8"?>
<sst xmlns="http://schemas.openxmlformats.org/spreadsheetml/2006/main" count="5612" uniqueCount="367">
  <si>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</si>
  <si>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</si>
  <si>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</si>
  <si>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</si>
  <si>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</si>
  <si>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</si>
  <si>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</si>
  <si>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</si>
  <si>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</si>
  <si>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</si>
  <si>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</si>
  <si>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</si>
  <si>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</si>
  <si>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</si>
  <si>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</si>
  <si>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</si>
  <si>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</si>
  <si>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</si>
  <si>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</si>
  <si>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</si>
  <si>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</si>
  <si>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</si>
  <si>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</si>
  <si>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</si>
  <si>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</si>
  <si>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</si>
  <si>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</si>
  <si>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</si>
  <si>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</si>
  <si>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</si>
  <si>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</si>
  <si>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</si>
  <si>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</si>
  <si>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</si>
  <si>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</si>
  <si>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</si>
  <si>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</si>
  <si>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</si>
  <si>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</si>
  <si>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</si>
  <si>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</si>
  <si>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</si>
  <si>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</si>
  <si>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</si>
  <si>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</si>
  <si>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</si>
  <si>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</si>
  <si>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</si>
  <si>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</si>
  <si>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</si>
  <si>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</si>
  <si>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</si>
  <si>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</si>
  <si>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</si>
  <si>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</si>
  <si>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</si>
  <si>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</si>
  <si>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</si>
  <si>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</si>
  <si>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</si>
  <si>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</si>
  <si>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</si>
  <si>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</si>
  <si>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</si>
  <si>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</si>
  <si>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</si>
  <si>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</si>
  <si>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</si>
  <si>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</si>
  <si>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</si>
  <si>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</si>
  <si>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</si>
  <si>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</si>
  <si>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</si>
  <si>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</si>
  <si>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</si>
  <si>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</si>
  <si>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</si>
  <si>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</si>
  <si>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</si>
  <si>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</si>
  <si>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</si>
  <si>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</si>
  <si>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</si>
  <si>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</si>
  <si>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</si>
  <si>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</si>
  <si>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</si>
  <si>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</si>
  <si>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</si>
  <si>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</si>
  <si>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</si>
  <si>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</si>
  <si>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</si>
  <si>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</si>
  <si>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</si>
  <si>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</si>
  <si>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</si>
  <si>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</si>
  <si>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</si>
  <si>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</si>
  <si>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</si>
  <si>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</si>
  <si>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</si>
  <si>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</si>
  <si>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</si>
  <si>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</si>
  <si>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</si>
  <si>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</si>
  <si>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</si>
  <si>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</si>
  <si>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</si>
  <si>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</si>
  <si>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</si>
  <si>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</si>
  <si>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</si>
  <si>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</si>
  <si>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</si>
  <si>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</si>
  <si>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</si>
  <si>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</si>
  <si>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</si>
  <si>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</si>
  <si>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</si>
  <si>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</si>
  <si>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</si>
  <si>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</si>
  <si>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</si>
  <si>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</si>
  <si>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</si>
  <si>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</si>
  <si>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</si>
  <si>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</si>
  <si>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</si>
  <si>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</si>
  <si>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</si>
  <si>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</si>
  <si>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</si>
  <si>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</si>
  <si>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</si>
  <si>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</si>
  <si>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</si>
  <si>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</si>
  <si>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</si>
  <si>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</si>
  <si>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</si>
  <si>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</si>
  <si>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</si>
  <si>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</si>
  <si>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</si>
  <si>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</si>
  <si>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</si>
  <si>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</si>
  <si>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</si>
  <si>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</si>
  <si>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</si>
  <si>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</si>
  <si>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</si>
  <si>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</si>
  <si>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</si>
  <si>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</si>
  <si>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</si>
  <si>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</si>
  <si>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</si>
  <si>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</si>
  <si>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</si>
  <si>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</si>
  <si>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</si>
  <si>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</si>
  <si>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</si>
  <si>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</si>
  <si>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</si>
  <si>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</si>
  <si>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</si>
  <si>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</si>
  <si>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</si>
  <si>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</si>
  <si>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</si>
  <si>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</si>
  <si>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</si>
  <si>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</si>
  <si>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</si>
  <si>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</si>
  <si>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</si>
  <si>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</si>
  <si>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</si>
  <si>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</si>
  <si>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</si>
  <si>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</si>
  <si>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</si>
  <si>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</si>
  <si>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</si>
  <si>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</si>
  <si>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</si>
  <si>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</si>
  <si>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</si>
  <si>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</si>
  <si>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</si>
  <si>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</si>
  <si>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</si>
  <si>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</si>
  <si>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</si>
  <si>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</si>
  <si>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</si>
  <si>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</si>
  <si>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</si>
  <si>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</si>
  <si>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</si>
  <si>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</si>
  <si>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</si>
  <si>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</si>
  <si>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</si>
  <si>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</si>
  <si>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</si>
  <si>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</si>
  <si>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</si>
  <si>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</si>
  <si>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</si>
  <si>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</si>
  <si>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</si>
  <si>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</si>
  <si>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</si>
  <si>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</si>
  <si>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</si>
  <si>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</si>
  <si>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</si>
  <si>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</si>
  <si>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</si>
  <si>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</si>
  <si>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</si>
  <si>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</si>
  <si>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</si>
  <si>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</si>
  <si>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</si>
  <si>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</si>
  <si>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</si>
  <si>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</si>
  <si>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</si>
  <si>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</si>
  <si>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</si>
  <si>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</si>
  <si>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</si>
  <si>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</si>
  <si>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</si>
  <si>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</si>
  <si>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</si>
  <si>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</si>
  <si>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</si>
  <si>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</si>
  <si>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</si>
  <si>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</si>
  <si>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</si>
  <si>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</si>
  <si>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</si>
  <si>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</si>
  <si>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</si>
  <si>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</si>
  <si>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</si>
  <si>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</si>
  <si>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</si>
  <si>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</si>
  <si>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</si>
  <si>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</si>
  <si>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</si>
  <si>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</si>
  <si>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</si>
  <si>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</si>
  <si>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</si>
  <si>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</si>
  <si>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</si>
  <si>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</si>
  <si>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</si>
  <si>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</si>
  <si>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</si>
  <si>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</si>
  <si>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</si>
  <si>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</si>
  <si>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</si>
  <si>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</si>
  <si>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</si>
  <si>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</si>
  <si>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</si>
  <si>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</si>
  <si>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</si>
  <si>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</si>
  <si>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</si>
  <si>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</si>
  <si>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</si>
  <si>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</si>
  <si>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</si>
  <si>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</si>
  <si>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</si>
  <si>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</si>
  <si>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</si>
  <si>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</si>
  <si>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</si>
  <si>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</si>
  <si>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</si>
  <si>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</si>
  <si>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</si>
  <si>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</si>
  <si>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</si>
  <si>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</si>
  <si>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</si>
  <si>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</si>
  <si>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</si>
  <si>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</si>
  <si>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</si>
  <si>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</si>
  <si>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</si>
  <si>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</si>
  <si>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</si>
  <si>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</si>
  <si>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</si>
  <si>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</si>
  <si>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</si>
  <si>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</si>
  <si>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</si>
  <si>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</si>
  <si>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</si>
  <si>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</si>
  <si>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</si>
  <si>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</si>
  <si>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</si>
  <si>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</si>
  <si>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</si>
  <si>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</si>
  <si>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</si>
  <si>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</si>
  <si>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</si>
  <si>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</si>
  <si>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</si>
  <si>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</si>
  <si>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</si>
  <si>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</si>
  <si>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</si>
  <si>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</si>
  <si>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</si>
  <si>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</si>
  <si>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</si>
  <si>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</si>
  <si>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</si>
  <si>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</si>
  <si>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</si>
  <si>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</si>
  <si>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</si>
  <si>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</si>
  <si>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</si>
  <si>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</si>
  <si>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</si>
  <si>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</si>
  <si>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</si>
  <si>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</si>
  <si>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</si>
  <si>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</si>
  <si>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</si>
  <si>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</si>
  <si>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</si>
  <si>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</si>
  <si>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</si>
  <si>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</si>
  <si>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П.Н. Кондратьев</t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</si>
  <si>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обустроенных площадок для сбора твердых коммунальных отходов»</t>
    </r>
  </si>
  <si>
    <t>стр.16 начало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</si>
  <si>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площадок» </t>
    </r>
  </si>
  <si>
    <r>
      <rPr>
        <b/>
        <sz val="12"/>
        <rFont val="Times New Roman"/>
        <family val="1"/>
        <charset val="204"/>
      </rPr>
      <t>Мероприятие 1.18</t>
    </r>
    <r>
      <rPr>
        <sz val="12"/>
        <rFont val="Times New Roman"/>
        <family val="1"/>
        <charset val="204"/>
      </rPr>
      <t xml:space="preserve">
«Обустройство площадок для выгула домашних животных»</t>
    </r>
  </si>
  <si>
    <t>Приложение  1
к постановлению Администрации города Твери
от «22»  декабря 2022 № 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</si>
</sst>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1"/>
  <sheetViews>
    <sheetView tabSelected="1" view="pageBreakPreview" zoomScale="90" zoomScaleNormal="90" zoomScaleSheetLayoutView="9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73.28515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1.7109375" style="8" customWidth="1"/>
    <col min="28" max="28" width="6.42578125" style="7" customWidth="1"/>
    <col min="29" max="29" width="12.85546875" style="9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79" t="s">
        <v>366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92"/>
      <c r="AD1" s="92"/>
      <c r="AE1" s="92"/>
    </row>
    <row r="2" spans="1:35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8"/>
      <c r="S2" s="141"/>
      <c r="T2" s="141"/>
      <c r="U2" s="141"/>
      <c r="V2" s="141"/>
      <c r="W2" s="141"/>
      <c r="X2" s="143"/>
      <c r="Y2" s="141"/>
      <c r="Z2" s="141"/>
      <c r="AA2" s="141"/>
      <c r="AB2" s="141"/>
      <c r="AC2" s="92"/>
      <c r="AD2" s="92"/>
      <c r="AE2" s="92"/>
    </row>
    <row r="3" spans="1:35" ht="13.9" customHeight="1" x14ac:dyDescent="0.25">
      <c r="A3" s="179" t="s">
        <v>288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92"/>
      <c r="AD3" s="92"/>
      <c r="AE3" s="92"/>
    </row>
    <row r="4" spans="1:35" x14ac:dyDescent="0.25">
      <c r="A4" s="179" t="s">
        <v>26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9"/>
    </row>
    <row r="5" spans="1:35" x14ac:dyDescent="0.25">
      <c r="A5" s="179" t="s">
        <v>48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9"/>
    </row>
    <row r="6" spans="1:35" x14ac:dyDescent="0.25">
      <c r="A6" s="179" t="s">
        <v>259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8"/>
      <c r="S7" s="141"/>
      <c r="T7" s="141"/>
      <c r="U7" s="141"/>
      <c r="V7" s="11"/>
      <c r="W7" s="141"/>
      <c r="X7" s="174"/>
      <c r="Y7" s="174"/>
      <c r="Z7" s="174"/>
      <c r="AA7" s="174"/>
      <c r="AB7" s="174"/>
    </row>
    <row r="8" spans="1:35" ht="18.75" x14ac:dyDescent="0.25">
      <c r="A8" s="175" t="s">
        <v>12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9"/>
      <c r="AD8" s="12"/>
    </row>
    <row r="9" spans="1:35" ht="18.75" x14ac:dyDescent="0.25">
      <c r="A9" s="175" t="s">
        <v>258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</row>
    <row r="10" spans="1:35" x14ac:dyDescent="0.25">
      <c r="A10" s="176" t="s">
        <v>57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</row>
    <row r="11" spans="1:35" ht="9" customHeight="1" x14ac:dyDescent="0.25">
      <c r="V11" s="13"/>
    </row>
    <row r="12" spans="1:35" s="87" customFormat="1" ht="40.15" customHeight="1" x14ac:dyDescent="0.25">
      <c r="A12" s="177" t="s">
        <v>16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8" t="s">
        <v>13</v>
      </c>
      <c r="S12" s="178" t="s">
        <v>33</v>
      </c>
      <c r="T12" s="178" t="s">
        <v>14</v>
      </c>
      <c r="U12" s="178"/>
      <c r="V12" s="178"/>
      <c r="W12" s="178"/>
      <c r="X12" s="178"/>
      <c r="Y12" s="178"/>
      <c r="Z12" s="178"/>
      <c r="AA12" s="177" t="s">
        <v>10</v>
      </c>
      <c r="AB12" s="177"/>
      <c r="AC12" s="9"/>
      <c r="AD12" s="9"/>
      <c r="AE12" s="9"/>
      <c r="AF12" s="9"/>
      <c r="AG12" s="9"/>
      <c r="AH12" s="9"/>
    </row>
    <row r="13" spans="1:35" s="87" customFormat="1" ht="51.6" customHeight="1" x14ac:dyDescent="0.25">
      <c r="A13" s="177" t="s">
        <v>29</v>
      </c>
      <c r="B13" s="177"/>
      <c r="C13" s="177"/>
      <c r="D13" s="177" t="s">
        <v>27</v>
      </c>
      <c r="E13" s="177"/>
      <c r="F13" s="177" t="s">
        <v>28</v>
      </c>
      <c r="G13" s="177"/>
      <c r="H13" s="177" t="s">
        <v>17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8"/>
      <c r="S13" s="178"/>
      <c r="T13" s="139">
        <v>2018</v>
      </c>
      <c r="U13" s="139">
        <v>2019</v>
      </c>
      <c r="V13" s="139">
        <v>2020</v>
      </c>
      <c r="W13" s="139">
        <v>2021</v>
      </c>
      <c r="X13" s="144">
        <v>2022</v>
      </c>
      <c r="Y13" s="139">
        <v>2023</v>
      </c>
      <c r="Z13" s="139">
        <v>2024</v>
      </c>
      <c r="AA13" s="146" t="s">
        <v>11</v>
      </c>
      <c r="AB13" s="146" t="s">
        <v>30</v>
      </c>
      <c r="AC13" s="14"/>
      <c r="AD13" s="15"/>
      <c r="AE13" s="15"/>
      <c r="AF13" s="16"/>
      <c r="AG13" s="16"/>
      <c r="AH13" s="16"/>
    </row>
    <row r="14" spans="1:35" s="8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T29+T175+T479+T540</f>
        <v>505632.4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563641.9</v>
      </c>
      <c r="Y15" s="24">
        <f t="shared" si="0"/>
        <v>408938</v>
      </c>
      <c r="Z15" s="24">
        <f t="shared" si="0"/>
        <v>374646.9</v>
      </c>
      <c r="AA15" s="24">
        <f>SUM(T15:Z15)</f>
        <v>3373608.5999999996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82" t="s">
        <v>59</v>
      </c>
      <c r="S23" s="17"/>
      <c r="T23" s="35"/>
      <c r="U23" s="35"/>
      <c r="V23" s="35"/>
      <c r="W23" s="35"/>
      <c r="X23" s="35"/>
      <c r="Y23" s="35"/>
      <c r="Z23" s="35"/>
      <c r="AA23" s="35"/>
      <c r="AB23" s="140"/>
      <c r="AC23" s="83"/>
      <c r="AD23" s="37"/>
      <c r="AE23" s="37"/>
    </row>
    <row r="24" spans="1:36" ht="47.2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69" t="s">
        <v>60</v>
      </c>
      <c r="S24" s="39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(416.9+89.6+58.4+46.2+69.9+59.9)/2557*100</f>
        <v>28.975361752053185</v>
      </c>
      <c r="Y24" s="3">
        <f xml:space="preserve"> (416.9+89.6+58.4+46.2+69.9+59.9+31.9)/Y27*100</f>
        <v>35.239398084815328</v>
      </c>
      <c r="Z24" s="3">
        <f xml:space="preserve"> (416.9+89.6+58.4+46.2+69.9+59.9+31.9+64.3)/Z27*100</f>
        <v>38.17145462836298</v>
      </c>
      <c r="AA24" s="6">
        <f>Z24</f>
        <v>38.17145462836298</v>
      </c>
      <c r="AB24" s="139">
        <v>2024</v>
      </c>
      <c r="AC24" s="33"/>
    </row>
    <row r="25" spans="1:36" ht="47.25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69" t="s">
        <v>61</v>
      </c>
      <c r="S25" s="39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((842+61)+58+42+7+17+14)/2947*100</f>
        <v>35.324058364438407</v>
      </c>
      <c r="Y25" s="3">
        <f>((842+61)+58+42+7+17+14+12)/2947*100</f>
        <v>35.731252120800818</v>
      </c>
      <c r="Z25" s="3">
        <f>((842+61)+58+42+7+17+14+12+16)/2947*100</f>
        <v>36.27417712928402</v>
      </c>
      <c r="AA25" s="6">
        <f>Z25</f>
        <v>36.27417712928402</v>
      </c>
      <c r="AB25" s="139">
        <v>2024</v>
      </c>
      <c r="AC25" s="40"/>
      <c r="AD25" s="41"/>
      <c r="AE25" s="41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82" t="s">
        <v>62</v>
      </c>
      <c r="S26" s="39" t="s">
        <v>34</v>
      </c>
      <c r="T26" s="119">
        <f>T30/420.1</f>
        <v>0.21328255177338726</v>
      </c>
      <c r="U26" s="119">
        <f>U30/420.1</f>
        <v>0.13901452035229706</v>
      </c>
      <c r="V26" s="119">
        <f>V30/420.1</f>
        <v>0.10997381575815282</v>
      </c>
      <c r="W26" s="119">
        <f>W30/425.7</f>
        <v>0.164200140944327</v>
      </c>
      <c r="X26" s="119">
        <f>X30/424.9</f>
        <v>0.14097434690515415</v>
      </c>
      <c r="Y26" s="119">
        <f t="shared" ref="Y26:Z26" si="6">Y30/424.9</f>
        <v>7.5076488585549536E-2</v>
      </c>
      <c r="Z26" s="119">
        <f t="shared" si="6"/>
        <v>0.15132972464109201</v>
      </c>
      <c r="AA26" s="132">
        <f>SUM(T26:Z26)</f>
        <v>0.99385158895995973</v>
      </c>
      <c r="AB26" s="139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82" t="s">
        <v>63</v>
      </c>
      <c r="S27" s="139" t="s">
        <v>52</v>
      </c>
      <c r="T27" s="3">
        <f>T128</f>
        <v>2557</v>
      </c>
      <c r="U27" s="3">
        <f t="shared" ref="U27:Z27" si="7">U128</f>
        <v>2220.9</v>
      </c>
      <c r="V27" s="3">
        <f t="shared" si="7"/>
        <v>2165.9</v>
      </c>
      <c r="W27" s="3">
        <f>W128</f>
        <v>2189.1</v>
      </c>
      <c r="X27" s="3">
        <f t="shared" si="7"/>
        <v>2192.6999999999998</v>
      </c>
      <c r="Y27" s="3">
        <f t="shared" si="7"/>
        <v>2192.9999999999995</v>
      </c>
      <c r="Z27" s="3">
        <f t="shared" si="7"/>
        <v>2192.9999999999995</v>
      </c>
      <c r="AA27" s="5">
        <f>Z27</f>
        <v>2192.9999999999995</v>
      </c>
      <c r="AB27" s="139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82" t="s">
        <v>64</v>
      </c>
      <c r="S28" s="139" t="s">
        <v>50</v>
      </c>
      <c r="T28" s="42">
        <f>T33</f>
        <v>2400</v>
      </c>
      <c r="U28" s="42">
        <f t="shared" ref="U28:Z28" si="8">U33</f>
        <v>2400</v>
      </c>
      <c r="V28" s="42">
        <f t="shared" si="8"/>
        <v>4059</v>
      </c>
      <c r="W28" s="42">
        <f t="shared" si="8"/>
        <v>3100</v>
      </c>
      <c r="X28" s="42">
        <f t="shared" si="8"/>
        <v>3513</v>
      </c>
      <c r="Y28" s="42">
        <f t="shared" si="8"/>
        <v>3100</v>
      </c>
      <c r="Z28" s="42">
        <f t="shared" si="8"/>
        <v>3100</v>
      </c>
      <c r="AA28" s="45">
        <f>SUM(T28:Z28)</f>
        <v>21672</v>
      </c>
      <c r="AB28" s="139">
        <v>2024</v>
      </c>
      <c r="AC28" s="33" t="s">
        <v>342</v>
      </c>
    </row>
    <row r="29" spans="1:36" ht="31.5" x14ac:dyDescent="0.25">
      <c r="A29" s="44"/>
      <c r="B29" s="44"/>
      <c r="C29" s="44"/>
      <c r="D29" s="44"/>
      <c r="E29" s="44"/>
      <c r="F29" s="44"/>
      <c r="G29" s="44"/>
      <c r="H29" s="44" t="s">
        <v>19</v>
      </c>
      <c r="I29" s="44" t="s">
        <v>24</v>
      </c>
      <c r="J29" s="44" t="s">
        <v>18</v>
      </c>
      <c r="K29" s="44" t="s">
        <v>18</v>
      </c>
      <c r="L29" s="44" t="s">
        <v>19</v>
      </c>
      <c r="M29" s="44" t="s">
        <v>18</v>
      </c>
      <c r="N29" s="44" t="s">
        <v>18</v>
      </c>
      <c r="O29" s="44" t="s">
        <v>18</v>
      </c>
      <c r="P29" s="44" t="s">
        <v>18</v>
      </c>
      <c r="Q29" s="44" t="s">
        <v>18</v>
      </c>
      <c r="R29" s="90" t="s">
        <v>35</v>
      </c>
      <c r="S29" s="131" t="s">
        <v>231</v>
      </c>
      <c r="T29" s="130">
        <f>T39+T49+T55+T66+T86+T108+T113+T123+T126+T143+T146+T148+T157</f>
        <v>325992.60000000003</v>
      </c>
      <c r="U29" s="130">
        <f>U39+U49+U55+U66+U86+U108+U113+U123+U126+U143+U146+U148</f>
        <v>483865.9</v>
      </c>
      <c r="V29" s="130">
        <f>V39+V55+V66+V86+V108+V113+V123+V126+V143+V146+V148+V157</f>
        <v>417830.99999999994</v>
      </c>
      <c r="W29" s="130">
        <f>W39+W49+W55+W66+W86+W108+W113+W123+W126+W143+W146+W148+W157+W159</f>
        <v>361990.59999999992</v>
      </c>
      <c r="X29" s="130">
        <f>X39+X49+X55+X66+X86+X108+X113+X123+X126+X143+X146+X148+X157+X159</f>
        <v>469816.30000000005</v>
      </c>
      <c r="Y29" s="130">
        <f>Y39+Y49+Y55+Y66+Y86+Y108+Y113+Y123+Y126+Y143+Y146+Y148+Y157+Y159+Y173</f>
        <v>352923.60000000003</v>
      </c>
      <c r="Z29" s="130">
        <f>Z39+Z49+Z55+Z66+Z86+Z108+Z113+Z123+Z126+Z143+Z146+Z148+Z157+Z159</f>
        <v>306093.40000000002</v>
      </c>
      <c r="AA29" s="130">
        <f>SUM(T29:Z29)</f>
        <v>2718513.4</v>
      </c>
      <c r="AB29" s="131">
        <v>2024</v>
      </c>
      <c r="AC29" s="101"/>
    </row>
    <row r="30" spans="1:36" ht="31.1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52" t="s">
        <v>65</v>
      </c>
      <c r="S30" s="139" t="s">
        <v>52</v>
      </c>
      <c r="T30" s="4">
        <f t="shared" ref="T30:Z30" si="9">T45+T156</f>
        <v>89.6</v>
      </c>
      <c r="U30" s="4">
        <f t="shared" si="9"/>
        <v>58.4</v>
      </c>
      <c r="V30" s="3">
        <f t="shared" si="9"/>
        <v>46.2</v>
      </c>
      <c r="W30" s="4">
        <f t="shared" si="9"/>
        <v>69.900000000000006</v>
      </c>
      <c r="X30" s="4">
        <f>X45+X156</f>
        <v>59.9</v>
      </c>
      <c r="Y30" s="4">
        <f>Y45+Y156</f>
        <v>31.9</v>
      </c>
      <c r="Z30" s="4">
        <f t="shared" si="9"/>
        <v>64.3</v>
      </c>
      <c r="AA30" s="5">
        <f>SUM(T30:Z30)</f>
        <v>420.2</v>
      </c>
      <c r="AB30" s="139">
        <v>2024</v>
      </c>
      <c r="AC30" s="33"/>
    </row>
    <row r="31" spans="1:36" s="47" customFormat="1" ht="31.1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69" t="s">
        <v>66</v>
      </c>
      <c r="S31" s="39" t="s">
        <v>38</v>
      </c>
      <c r="T31" s="2">
        <f>T44+T155</f>
        <v>5</v>
      </c>
      <c r="U31" s="2">
        <f>U44+U155</f>
        <v>6</v>
      </c>
      <c r="V31" s="42">
        <f>V44+V155</f>
        <v>4</v>
      </c>
      <c r="W31" s="2">
        <f>W44+W155</f>
        <v>4</v>
      </c>
      <c r="X31" s="2">
        <f>X44+X155</f>
        <v>5</v>
      </c>
      <c r="Y31" s="42">
        <v>2</v>
      </c>
      <c r="Z31" s="42">
        <v>2</v>
      </c>
      <c r="AA31" s="43">
        <f>SUM(T31:Z31)</f>
        <v>28</v>
      </c>
      <c r="AB31" s="139">
        <v>2024</v>
      </c>
      <c r="AC31" s="33"/>
      <c r="AD31" s="46"/>
    </row>
    <row r="32" spans="1:36" s="47" customFormat="1" ht="31.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69" t="s">
        <v>67</v>
      </c>
      <c r="S32" s="39" t="s">
        <v>9</v>
      </c>
      <c r="T32" s="48">
        <v>100</v>
      </c>
      <c r="U32" s="48">
        <v>100</v>
      </c>
      <c r="V32" s="48">
        <v>100</v>
      </c>
      <c r="W32" s="48">
        <v>100</v>
      </c>
      <c r="X32" s="48">
        <v>100</v>
      </c>
      <c r="Y32" s="48">
        <v>100</v>
      </c>
      <c r="Z32" s="48">
        <v>100</v>
      </c>
      <c r="AA32" s="49">
        <v>100</v>
      </c>
      <c r="AB32" s="139">
        <v>2024</v>
      </c>
      <c r="AC32" s="33"/>
      <c r="AD32" s="46"/>
    </row>
    <row r="33" spans="1:31" ht="47.2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82" t="s">
        <v>68</v>
      </c>
      <c r="S33" s="139" t="s">
        <v>50</v>
      </c>
      <c r="T33" s="42">
        <f>T138</f>
        <v>2400</v>
      </c>
      <c r="U33" s="42">
        <f t="shared" ref="U33:Z33" si="10">U138</f>
        <v>2400</v>
      </c>
      <c r="V33" s="42">
        <f t="shared" si="10"/>
        <v>4059</v>
      </c>
      <c r="W33" s="42">
        <f t="shared" si="10"/>
        <v>3100</v>
      </c>
      <c r="X33" s="42">
        <f t="shared" si="10"/>
        <v>3513</v>
      </c>
      <c r="Y33" s="42">
        <f t="shared" si="10"/>
        <v>3100</v>
      </c>
      <c r="Z33" s="42">
        <f t="shared" si="10"/>
        <v>3100</v>
      </c>
      <c r="AA33" s="43">
        <f>SUM(T33:Z33)</f>
        <v>21672</v>
      </c>
      <c r="AB33" s="139">
        <v>2024</v>
      </c>
      <c r="AC33" s="33"/>
    </row>
    <row r="34" spans="1:31" ht="31.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82" t="s">
        <v>69</v>
      </c>
      <c r="S34" s="139" t="s">
        <v>38</v>
      </c>
      <c r="T34" s="42">
        <f t="shared" ref="T34:Y34" si="11">T56</f>
        <v>10</v>
      </c>
      <c r="U34" s="42">
        <f t="shared" si="11"/>
        <v>10</v>
      </c>
      <c r="V34" s="42">
        <f t="shared" si="11"/>
        <v>9</v>
      </c>
      <c r="W34" s="42">
        <f t="shared" si="11"/>
        <v>10</v>
      </c>
      <c r="X34" s="42">
        <f t="shared" si="11"/>
        <v>9</v>
      </c>
      <c r="Y34" s="42">
        <f t="shared" si="11"/>
        <v>10</v>
      </c>
      <c r="Z34" s="42">
        <f t="shared" ref="Z34" si="12">Z56</f>
        <v>10</v>
      </c>
      <c r="AA34" s="45">
        <v>10</v>
      </c>
      <c r="AB34" s="139">
        <v>2024</v>
      </c>
      <c r="AC34" s="33"/>
    </row>
    <row r="35" spans="1:31" ht="31.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152" t="s">
        <v>70</v>
      </c>
      <c r="S35" s="139" t="s">
        <v>38</v>
      </c>
      <c r="T35" s="42">
        <f t="shared" ref="T35:Y35" si="13">T67</f>
        <v>20</v>
      </c>
      <c r="U35" s="2">
        <f t="shared" si="13"/>
        <v>20</v>
      </c>
      <c r="V35" s="2">
        <f t="shared" si="13"/>
        <v>20</v>
      </c>
      <c r="W35" s="2">
        <f t="shared" si="13"/>
        <v>20</v>
      </c>
      <c r="X35" s="2">
        <f t="shared" si="13"/>
        <v>20</v>
      </c>
      <c r="Y35" s="2">
        <f t="shared" si="13"/>
        <v>20</v>
      </c>
      <c r="Z35" s="2">
        <f t="shared" ref="Z35" si="14">Z67</f>
        <v>20</v>
      </c>
      <c r="AA35" s="45">
        <v>20</v>
      </c>
      <c r="AB35" s="139">
        <v>2024</v>
      </c>
      <c r="AC35" s="33"/>
    </row>
    <row r="36" spans="1:31" s="47" customFormat="1" ht="48.7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152" t="s">
        <v>302</v>
      </c>
      <c r="S36" s="39" t="s">
        <v>38</v>
      </c>
      <c r="T36" s="42">
        <f>T89</f>
        <v>25</v>
      </c>
      <c r="U36" s="42">
        <f>U89</f>
        <v>77</v>
      </c>
      <c r="V36" s="42">
        <f t="shared" ref="V36:Y36" si="15">V89</f>
        <v>74</v>
      </c>
      <c r="W36" s="42">
        <f t="shared" si="15"/>
        <v>63</v>
      </c>
      <c r="X36" s="42">
        <f t="shared" si="15"/>
        <v>60</v>
      </c>
      <c r="Y36" s="42">
        <f t="shared" si="15"/>
        <v>34</v>
      </c>
      <c r="Z36" s="42">
        <f t="shared" ref="Z36" si="16">Z89</f>
        <v>34</v>
      </c>
      <c r="AA36" s="45">
        <f>SUM(T36:Z36)</f>
        <v>367</v>
      </c>
      <c r="AB36" s="139">
        <v>2024</v>
      </c>
      <c r="AC36" s="101"/>
      <c r="AD36" s="46"/>
    </row>
    <row r="37" spans="1:31" s="47" customFormat="1" ht="45.7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150" t="s">
        <v>71</v>
      </c>
      <c r="S37" s="51" t="s">
        <v>41</v>
      </c>
      <c r="T37" s="52">
        <v>1</v>
      </c>
      <c r="U37" s="52">
        <v>1</v>
      </c>
      <c r="V37" s="52">
        <v>1</v>
      </c>
      <c r="W37" s="52">
        <v>1</v>
      </c>
      <c r="X37" s="52">
        <v>1</v>
      </c>
      <c r="Y37" s="52">
        <v>1</v>
      </c>
      <c r="Z37" s="52">
        <v>1</v>
      </c>
      <c r="AA37" s="53">
        <v>1</v>
      </c>
      <c r="AB37" s="54">
        <v>2024</v>
      </c>
      <c r="AC37" s="33"/>
      <c r="AD37" s="46"/>
    </row>
    <row r="38" spans="1:31" ht="31.5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9" t="s">
        <v>72</v>
      </c>
      <c r="S38" s="39" t="s">
        <v>38</v>
      </c>
      <c r="T38" s="42">
        <v>5</v>
      </c>
      <c r="U38" s="2">
        <v>6</v>
      </c>
      <c r="V38" s="2">
        <v>6</v>
      </c>
      <c r="W38" s="2">
        <v>6</v>
      </c>
      <c r="X38" s="2">
        <v>18</v>
      </c>
      <c r="Y38" s="2">
        <v>6</v>
      </c>
      <c r="Z38" s="2">
        <v>6</v>
      </c>
      <c r="AA38" s="45">
        <f>SUM(T38:Z38)</f>
        <v>53</v>
      </c>
      <c r="AB38" s="139">
        <v>2024</v>
      </c>
      <c r="AC38" s="111"/>
      <c r="AD38" s="92"/>
      <c r="AE38" s="8"/>
    </row>
    <row r="39" spans="1:31" x14ac:dyDescent="0.25">
      <c r="A39" s="50" t="s">
        <v>18</v>
      </c>
      <c r="B39" s="50" t="s">
        <v>19</v>
      </c>
      <c r="C39" s="50" t="s">
        <v>20</v>
      </c>
      <c r="D39" s="50" t="s">
        <v>18</v>
      </c>
      <c r="E39" s="50" t="s">
        <v>21</v>
      </c>
      <c r="F39" s="50" t="s">
        <v>18</v>
      </c>
      <c r="G39" s="50" t="s">
        <v>22</v>
      </c>
      <c r="H39" s="50" t="s">
        <v>19</v>
      </c>
      <c r="I39" s="50" t="s">
        <v>24</v>
      </c>
      <c r="J39" s="50" t="s">
        <v>18</v>
      </c>
      <c r="K39" s="50" t="s">
        <v>18</v>
      </c>
      <c r="L39" s="50" t="s">
        <v>19</v>
      </c>
      <c r="M39" s="50" t="s">
        <v>18</v>
      </c>
      <c r="N39" s="50" t="s">
        <v>18</v>
      </c>
      <c r="O39" s="50" t="s">
        <v>18</v>
      </c>
      <c r="P39" s="50" t="s">
        <v>18</v>
      </c>
      <c r="Q39" s="50" t="s">
        <v>18</v>
      </c>
      <c r="R39" s="169" t="s">
        <v>73</v>
      </c>
      <c r="S39" s="154" t="s">
        <v>0</v>
      </c>
      <c r="T39" s="55">
        <f t="shared" ref="T39:Y39" si="17">T40+T41+T42+T43</f>
        <v>85389.599999999991</v>
      </c>
      <c r="U39" s="55">
        <f t="shared" si="17"/>
        <v>921.2</v>
      </c>
      <c r="V39" s="55">
        <f t="shared" si="17"/>
        <v>350</v>
      </c>
      <c r="W39" s="55">
        <f t="shared" si="17"/>
        <v>7371.0999999999995</v>
      </c>
      <c r="X39" s="55">
        <f t="shared" si="17"/>
        <v>7729.2999999999975</v>
      </c>
      <c r="Y39" s="55">
        <f t="shared" si="17"/>
        <v>0</v>
      </c>
      <c r="Z39" s="55">
        <f t="shared" ref="Z39" si="18">Z40+Z41+Z42+Z43</f>
        <v>0</v>
      </c>
      <c r="AA39" s="55">
        <f>SUM(T39:Y39)</f>
        <v>101761.2</v>
      </c>
      <c r="AB39" s="54">
        <v>2022</v>
      </c>
      <c r="AC39" s="115"/>
      <c r="AD39" s="56"/>
      <c r="AE39" s="8"/>
    </row>
    <row r="40" spans="1:31" ht="16.899999999999999" hidden="1" customHeight="1" x14ac:dyDescent="0.25">
      <c r="A40" s="50" t="s">
        <v>18</v>
      </c>
      <c r="B40" s="50" t="s">
        <v>19</v>
      </c>
      <c r="C40" s="50" t="s">
        <v>20</v>
      </c>
      <c r="D40" s="50" t="s">
        <v>18</v>
      </c>
      <c r="E40" s="50" t="s">
        <v>21</v>
      </c>
      <c r="F40" s="50" t="s">
        <v>18</v>
      </c>
      <c r="G40" s="50" t="s">
        <v>22</v>
      </c>
      <c r="H40" s="50" t="s">
        <v>19</v>
      </c>
      <c r="I40" s="50" t="s">
        <v>24</v>
      </c>
      <c r="J40" s="50" t="s">
        <v>18</v>
      </c>
      <c r="K40" s="50" t="s">
        <v>18</v>
      </c>
      <c r="L40" s="50" t="s">
        <v>19</v>
      </c>
      <c r="M40" s="50" t="s">
        <v>44</v>
      </c>
      <c r="N40" s="50" t="s">
        <v>21</v>
      </c>
      <c r="O40" s="50" t="s">
        <v>21</v>
      </c>
      <c r="P40" s="50" t="s">
        <v>21</v>
      </c>
      <c r="Q40" s="50" t="s">
        <v>45</v>
      </c>
      <c r="R40" s="169"/>
      <c r="S40" s="155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5">
        <f>SUM(T40:Y40)</f>
        <v>0</v>
      </c>
      <c r="AB40" s="54">
        <v>2022</v>
      </c>
      <c r="AD40" s="56"/>
      <c r="AE40" s="8"/>
    </row>
    <row r="41" spans="1:31" ht="16.899999999999999" hidden="1" customHeight="1" x14ac:dyDescent="0.25">
      <c r="A41" s="50" t="s">
        <v>18</v>
      </c>
      <c r="B41" s="50" t="s">
        <v>19</v>
      </c>
      <c r="C41" s="50" t="s">
        <v>20</v>
      </c>
      <c r="D41" s="50" t="s">
        <v>18</v>
      </c>
      <c r="E41" s="50" t="s">
        <v>21</v>
      </c>
      <c r="F41" s="50" t="s">
        <v>18</v>
      </c>
      <c r="G41" s="50" t="s">
        <v>22</v>
      </c>
      <c r="H41" s="50" t="s">
        <v>19</v>
      </c>
      <c r="I41" s="50" t="s">
        <v>24</v>
      </c>
      <c r="J41" s="50" t="s">
        <v>18</v>
      </c>
      <c r="K41" s="50" t="s">
        <v>18</v>
      </c>
      <c r="L41" s="50" t="s">
        <v>19</v>
      </c>
      <c r="M41" s="50" t="s">
        <v>44</v>
      </c>
      <c r="N41" s="50" t="s">
        <v>21</v>
      </c>
      <c r="O41" s="50" t="s">
        <v>21</v>
      </c>
      <c r="P41" s="50" t="s">
        <v>21</v>
      </c>
      <c r="Q41" s="50" t="s">
        <v>45</v>
      </c>
      <c r="R41" s="169"/>
      <c r="S41" s="155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5">
        <f>SUM(T41:Y41)</f>
        <v>0</v>
      </c>
      <c r="AB41" s="54">
        <v>2022</v>
      </c>
      <c r="AD41" s="56"/>
      <c r="AE41" s="8"/>
    </row>
    <row r="42" spans="1:31" x14ac:dyDescent="0.25">
      <c r="A42" s="50" t="s">
        <v>18</v>
      </c>
      <c r="B42" s="50" t="s">
        <v>19</v>
      </c>
      <c r="C42" s="50" t="s">
        <v>20</v>
      </c>
      <c r="D42" s="50" t="s">
        <v>18</v>
      </c>
      <c r="E42" s="50" t="s">
        <v>21</v>
      </c>
      <c r="F42" s="50" t="s">
        <v>18</v>
      </c>
      <c r="G42" s="50" t="s">
        <v>22</v>
      </c>
      <c r="H42" s="50" t="s">
        <v>19</v>
      </c>
      <c r="I42" s="50" t="s">
        <v>24</v>
      </c>
      <c r="J42" s="50" t="s">
        <v>18</v>
      </c>
      <c r="K42" s="50" t="s">
        <v>18</v>
      </c>
      <c r="L42" s="50" t="s">
        <v>19</v>
      </c>
      <c r="M42" s="50" t="s">
        <v>40</v>
      </c>
      <c r="N42" s="50" t="s">
        <v>21</v>
      </c>
      <c r="O42" s="50" t="s">
        <v>21</v>
      </c>
      <c r="P42" s="50" t="s">
        <v>21</v>
      </c>
      <c r="Q42" s="50" t="s">
        <v>18</v>
      </c>
      <c r="R42" s="169"/>
      <c r="S42" s="155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5">
        <f>SUM(T42:Y42)</f>
        <v>83674.399999999994</v>
      </c>
      <c r="AB42" s="54">
        <v>2021</v>
      </c>
      <c r="AC42" s="113"/>
      <c r="AD42" s="92"/>
      <c r="AE42" s="92"/>
    </row>
    <row r="43" spans="1:31" x14ac:dyDescent="0.25">
      <c r="A43" s="50" t="s">
        <v>18</v>
      </c>
      <c r="B43" s="50" t="s">
        <v>19</v>
      </c>
      <c r="C43" s="50" t="s">
        <v>20</v>
      </c>
      <c r="D43" s="50" t="s">
        <v>18</v>
      </c>
      <c r="E43" s="50" t="s">
        <v>21</v>
      </c>
      <c r="F43" s="50" t="s">
        <v>18</v>
      </c>
      <c r="G43" s="50" t="s">
        <v>22</v>
      </c>
      <c r="H43" s="50" t="s">
        <v>19</v>
      </c>
      <c r="I43" s="50" t="s">
        <v>24</v>
      </c>
      <c r="J43" s="50" t="s">
        <v>18</v>
      </c>
      <c r="K43" s="50" t="s">
        <v>18</v>
      </c>
      <c r="L43" s="50" t="s">
        <v>19</v>
      </c>
      <c r="M43" s="50" t="s">
        <v>43</v>
      </c>
      <c r="N43" s="50" t="s">
        <v>43</v>
      </c>
      <c r="O43" s="50" t="s">
        <v>43</v>
      </c>
      <c r="P43" s="50" t="s">
        <v>43</v>
      </c>
      <c r="Q43" s="50" t="s">
        <v>43</v>
      </c>
      <c r="R43" s="169"/>
      <c r="S43" s="156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0+300+6588.6+10900-10000+10005.3-10024.1-40.5</f>
        <v>7729.2999999999975</v>
      </c>
      <c r="Y43" s="1">
        <v>0</v>
      </c>
      <c r="Z43" s="1">
        <v>0</v>
      </c>
      <c r="AA43" s="55">
        <f>T43+U43+V43+W43+X43+Y43</f>
        <v>18086.799999999996</v>
      </c>
      <c r="AB43" s="54">
        <v>2022</v>
      </c>
      <c r="AC43" s="113"/>
      <c r="AD43" s="94"/>
      <c r="AE43" s="94"/>
    </row>
    <row r="44" spans="1:31" s="64" customFormat="1" ht="31.9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1" t="s">
        <v>74</v>
      </c>
      <c r="S44" s="57" t="s">
        <v>38</v>
      </c>
      <c r="T44" s="2">
        <v>5</v>
      </c>
      <c r="U44" s="42">
        <v>0</v>
      </c>
      <c r="V44" s="42">
        <v>0</v>
      </c>
      <c r="W44" s="42">
        <v>2</v>
      </c>
      <c r="X44" s="42">
        <v>2</v>
      </c>
      <c r="Y44" s="42">
        <v>0</v>
      </c>
      <c r="Z44" s="42">
        <v>0</v>
      </c>
      <c r="AA44" s="45">
        <f>SUM(T44:Z44)</f>
        <v>9</v>
      </c>
      <c r="AB44" s="65">
        <v>2022</v>
      </c>
      <c r="AC44" s="33"/>
      <c r="AD44" s="86"/>
      <c r="AE44" s="86"/>
    </row>
    <row r="45" spans="1:31" s="64" customFormat="1" ht="32.450000000000003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1" t="s">
        <v>75</v>
      </c>
      <c r="S45" s="57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f>2.4</f>
        <v>2.4</v>
      </c>
      <c r="Y45" s="3">
        <v>0</v>
      </c>
      <c r="Z45" s="3">
        <v>0</v>
      </c>
      <c r="AA45" s="6">
        <f>SUM(T45:Z45)</f>
        <v>95.5</v>
      </c>
      <c r="AB45" s="65">
        <v>2022</v>
      </c>
      <c r="AC45" s="33"/>
      <c r="AD45" s="86"/>
      <c r="AE45" s="86"/>
    </row>
    <row r="46" spans="1:31" s="64" customFormat="1" ht="47.2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71" t="s">
        <v>330</v>
      </c>
      <c r="S46" s="57" t="s">
        <v>38</v>
      </c>
      <c r="T46" s="42">
        <v>8</v>
      </c>
      <c r="U46" s="42">
        <v>5</v>
      </c>
      <c r="V46" s="42">
        <v>8</v>
      </c>
      <c r="W46" s="42">
        <v>16</v>
      </c>
      <c r="X46" s="42">
        <v>12</v>
      </c>
      <c r="Y46" s="42">
        <v>0</v>
      </c>
      <c r="Z46" s="42">
        <v>0</v>
      </c>
      <c r="AA46" s="45">
        <f>SUM(T46:Z46)</f>
        <v>49</v>
      </c>
      <c r="AB46" s="65">
        <v>2022</v>
      </c>
      <c r="AC46" s="33"/>
      <c r="AD46" s="86"/>
      <c r="AE46" s="86"/>
    </row>
    <row r="47" spans="1:31" ht="47.25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150" t="s">
        <v>76</v>
      </c>
      <c r="S47" s="51" t="s">
        <v>41</v>
      </c>
      <c r="T47" s="52">
        <v>0</v>
      </c>
      <c r="U47" s="52">
        <v>0</v>
      </c>
      <c r="V47" s="52">
        <v>0</v>
      </c>
      <c r="W47" s="52">
        <v>1</v>
      </c>
      <c r="X47" s="52">
        <v>1</v>
      </c>
      <c r="Y47" s="52">
        <v>1</v>
      </c>
      <c r="Z47" s="52">
        <v>1</v>
      </c>
      <c r="AA47" s="53">
        <v>1</v>
      </c>
      <c r="AB47" s="54">
        <v>2024</v>
      </c>
      <c r="AC47" s="33"/>
      <c r="AD47" s="94"/>
      <c r="AE47" s="94"/>
    </row>
    <row r="48" spans="1:31" s="47" customFormat="1" ht="31.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69" t="s">
        <v>77</v>
      </c>
      <c r="S48" s="48" t="s">
        <v>38</v>
      </c>
      <c r="T48" s="42">
        <v>0</v>
      </c>
      <c r="U48" s="42">
        <v>0</v>
      </c>
      <c r="V48" s="42">
        <v>0</v>
      </c>
      <c r="W48" s="42">
        <v>1</v>
      </c>
      <c r="X48" s="42">
        <v>1</v>
      </c>
      <c r="Y48" s="42">
        <v>1</v>
      </c>
      <c r="Z48" s="42">
        <v>1</v>
      </c>
      <c r="AA48" s="43">
        <f>SUM(T48:Z48)</f>
        <v>4</v>
      </c>
      <c r="AB48" s="39">
        <v>2024</v>
      </c>
      <c r="AC48" s="33"/>
      <c r="AD48" s="46"/>
    </row>
    <row r="49" spans="1:34" ht="24.6" hidden="1" customHeight="1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167" t="s">
        <v>78</v>
      </c>
      <c r="S49" s="58" t="s">
        <v>0</v>
      </c>
      <c r="T49" s="1"/>
      <c r="U49" s="1">
        <f t="shared" ref="U49:Z49" si="19">U51</f>
        <v>0</v>
      </c>
      <c r="V49" s="1">
        <f t="shared" si="19"/>
        <v>0</v>
      </c>
      <c r="W49" s="1">
        <f t="shared" si="19"/>
        <v>0</v>
      </c>
      <c r="X49" s="1">
        <f t="shared" si="19"/>
        <v>0</v>
      </c>
      <c r="Y49" s="1">
        <f t="shared" si="19"/>
        <v>0</v>
      </c>
      <c r="Z49" s="1">
        <f t="shared" si="19"/>
        <v>0</v>
      </c>
      <c r="AA49" s="55">
        <f>T49+U49+V49+W49+X49+Y49</f>
        <v>0</v>
      </c>
      <c r="AB49" s="54">
        <v>2018</v>
      </c>
    </row>
    <row r="50" spans="1:34" ht="22.15" hidden="1" customHeight="1" x14ac:dyDescent="0.25">
      <c r="A50" s="50" t="s">
        <v>18</v>
      </c>
      <c r="B50" s="50" t="s">
        <v>18</v>
      </c>
      <c r="C50" s="50" t="s">
        <v>23</v>
      </c>
      <c r="D50" s="50" t="s">
        <v>18</v>
      </c>
      <c r="E50" s="50" t="s">
        <v>21</v>
      </c>
      <c r="F50" s="50" t="s">
        <v>18</v>
      </c>
      <c r="G50" s="50" t="s">
        <v>22</v>
      </c>
      <c r="H50" s="50" t="s">
        <v>19</v>
      </c>
      <c r="I50" s="50" t="s">
        <v>24</v>
      </c>
      <c r="J50" s="50" t="s">
        <v>18</v>
      </c>
      <c r="K50" s="50" t="s">
        <v>18</v>
      </c>
      <c r="L50" s="50" t="s">
        <v>19</v>
      </c>
      <c r="M50" s="50" t="s">
        <v>18</v>
      </c>
      <c r="N50" s="50" t="s">
        <v>18</v>
      </c>
      <c r="O50" s="50" t="s">
        <v>18</v>
      </c>
      <c r="P50" s="50" t="s">
        <v>18</v>
      </c>
      <c r="Q50" s="50" t="s">
        <v>18</v>
      </c>
      <c r="R50" s="173"/>
      <c r="S50" s="51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5">
        <f>T50+U50+V50+W50+X50+Y50</f>
        <v>0</v>
      </c>
      <c r="AB50" s="54">
        <v>2018</v>
      </c>
    </row>
    <row r="51" spans="1:34" ht="20.45" hidden="1" customHeight="1" x14ac:dyDescent="0.25">
      <c r="A51" s="50" t="s">
        <v>18</v>
      </c>
      <c r="B51" s="50" t="s">
        <v>18</v>
      </c>
      <c r="C51" s="50" t="s">
        <v>23</v>
      </c>
      <c r="D51" s="50" t="s">
        <v>18</v>
      </c>
      <c r="E51" s="50" t="s">
        <v>21</v>
      </c>
      <c r="F51" s="50" t="s">
        <v>18</v>
      </c>
      <c r="G51" s="50" t="s">
        <v>22</v>
      </c>
      <c r="H51" s="50" t="s">
        <v>19</v>
      </c>
      <c r="I51" s="50" t="s">
        <v>24</v>
      </c>
      <c r="J51" s="50" t="s">
        <v>18</v>
      </c>
      <c r="K51" s="50" t="s">
        <v>18</v>
      </c>
      <c r="L51" s="50" t="s">
        <v>19</v>
      </c>
      <c r="M51" s="50" t="s">
        <v>19</v>
      </c>
      <c r="N51" s="50" t="s">
        <v>18</v>
      </c>
      <c r="O51" s="50" t="s">
        <v>23</v>
      </c>
      <c r="P51" s="50" t="s">
        <v>19</v>
      </c>
      <c r="Q51" s="50" t="s">
        <v>45</v>
      </c>
      <c r="R51" s="173"/>
      <c r="S51" s="5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5">
        <f>T51+U51+V51+W51+X51+Y51</f>
        <v>0</v>
      </c>
      <c r="AB51" s="54">
        <v>2018</v>
      </c>
    </row>
    <row r="52" spans="1:34" ht="21" hidden="1" customHeight="1" x14ac:dyDescent="0.25">
      <c r="A52" s="50" t="s">
        <v>18</v>
      </c>
      <c r="B52" s="50" t="s">
        <v>18</v>
      </c>
      <c r="C52" s="50" t="s">
        <v>23</v>
      </c>
      <c r="D52" s="50" t="s">
        <v>18</v>
      </c>
      <c r="E52" s="50" t="s">
        <v>21</v>
      </c>
      <c r="F52" s="50" t="s">
        <v>18</v>
      </c>
      <c r="G52" s="50" t="s">
        <v>22</v>
      </c>
      <c r="H52" s="50" t="s">
        <v>19</v>
      </c>
      <c r="I52" s="50" t="s">
        <v>24</v>
      </c>
      <c r="J52" s="50" t="s">
        <v>18</v>
      </c>
      <c r="K52" s="50" t="s">
        <v>18</v>
      </c>
      <c r="L52" s="50" t="s">
        <v>19</v>
      </c>
      <c r="M52" s="50" t="s">
        <v>37</v>
      </c>
      <c r="N52" s="50" t="s">
        <v>18</v>
      </c>
      <c r="O52" s="50" t="s">
        <v>23</v>
      </c>
      <c r="P52" s="50" t="s">
        <v>19</v>
      </c>
      <c r="Q52" s="50" t="s">
        <v>47</v>
      </c>
      <c r="R52" s="173"/>
      <c r="S52" s="58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5">
        <f>T52+U52+V52+W52+X52+Y52</f>
        <v>0</v>
      </c>
      <c r="AB52" s="53">
        <v>2018</v>
      </c>
    </row>
    <row r="53" spans="1:34" ht="36" hidden="1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69" t="s">
        <v>79</v>
      </c>
      <c r="S53" s="39" t="s">
        <v>50</v>
      </c>
      <c r="T53" s="42"/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5"/>
      <c r="AB53" s="2">
        <v>2018</v>
      </c>
      <c r="AD53" s="94"/>
      <c r="AE53" s="9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70" t="s">
        <v>80</v>
      </c>
      <c r="S54" s="59" t="s">
        <v>9</v>
      </c>
      <c r="T54" s="60">
        <v>100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1">
        <v>100</v>
      </c>
      <c r="AB54" s="23">
        <v>2023</v>
      </c>
      <c r="AC54" s="105"/>
      <c r="AD54" s="92"/>
    </row>
    <row r="55" spans="1:34" ht="31.5" x14ac:dyDescent="0.25">
      <c r="A55" s="50"/>
      <c r="B55" s="50"/>
      <c r="C55" s="50"/>
      <c r="D55" s="50" t="s">
        <v>18</v>
      </c>
      <c r="E55" s="50" t="s">
        <v>21</v>
      </c>
      <c r="F55" s="50" t="s">
        <v>18</v>
      </c>
      <c r="G55" s="50" t="s">
        <v>22</v>
      </c>
      <c r="H55" s="50" t="s">
        <v>19</v>
      </c>
      <c r="I55" s="50" t="s">
        <v>24</v>
      </c>
      <c r="J55" s="50" t="s">
        <v>18</v>
      </c>
      <c r="K55" s="50" t="s">
        <v>18</v>
      </c>
      <c r="L55" s="50" t="s">
        <v>19</v>
      </c>
      <c r="M55" s="50" t="s">
        <v>43</v>
      </c>
      <c r="N55" s="50" t="s">
        <v>43</v>
      </c>
      <c r="O55" s="50" t="s">
        <v>43</v>
      </c>
      <c r="P55" s="50" t="s">
        <v>43</v>
      </c>
      <c r="Q55" s="50" t="s">
        <v>43</v>
      </c>
      <c r="R55" s="68" t="s">
        <v>81</v>
      </c>
      <c r="S55" s="54" t="s">
        <v>0</v>
      </c>
      <c r="T55" s="55">
        <f t="shared" ref="T55:Y55" si="20">T57+T59+T64+T61</f>
        <v>5077.4000000000005</v>
      </c>
      <c r="U55" s="55">
        <f t="shared" si="20"/>
        <v>2855.4</v>
      </c>
      <c r="V55" s="55">
        <f t="shared" si="20"/>
        <v>2623.8999999999996</v>
      </c>
      <c r="W55" s="55">
        <f t="shared" si="20"/>
        <v>3067.3</v>
      </c>
      <c r="X55" s="55">
        <f t="shared" si="20"/>
        <v>4101</v>
      </c>
      <c r="Y55" s="55">
        <f t="shared" si="20"/>
        <v>4290</v>
      </c>
      <c r="Z55" s="55">
        <f t="shared" ref="Z55" si="21">Z57+Z59+Z64+Z61</f>
        <v>3600</v>
      </c>
      <c r="AA55" s="55">
        <f>SUM(T55:Z55)</f>
        <v>25615</v>
      </c>
      <c r="AB55" s="54">
        <v>2024</v>
      </c>
      <c r="AC55" s="110"/>
    </row>
    <row r="56" spans="1:34" ht="31.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71" t="s">
        <v>82</v>
      </c>
      <c r="S56" s="139" t="s">
        <v>38</v>
      </c>
      <c r="T56" s="2">
        <f t="shared" ref="T56:Y56" si="22">T58+T60+T62+T65</f>
        <v>10</v>
      </c>
      <c r="U56" s="2">
        <f t="shared" si="22"/>
        <v>10</v>
      </c>
      <c r="V56" s="2">
        <f t="shared" si="22"/>
        <v>9</v>
      </c>
      <c r="W56" s="2">
        <f t="shared" si="22"/>
        <v>10</v>
      </c>
      <c r="X56" s="2">
        <f t="shared" si="22"/>
        <v>9</v>
      </c>
      <c r="Y56" s="2">
        <f t="shared" si="22"/>
        <v>10</v>
      </c>
      <c r="Z56" s="2">
        <f t="shared" ref="Z56" si="23">Z58+Z60+Z62+Z65</f>
        <v>10</v>
      </c>
      <c r="AA56" s="45">
        <f>Z56</f>
        <v>10</v>
      </c>
      <c r="AB56" s="39">
        <v>2024</v>
      </c>
      <c r="AC56" s="116"/>
      <c r="AD56" s="95"/>
      <c r="AE56" s="106"/>
      <c r="AF56" s="96"/>
      <c r="AG56" s="106"/>
      <c r="AH56" s="96"/>
    </row>
    <row r="57" spans="1:34" s="64" customFormat="1" ht="31.5" x14ac:dyDescent="0.25">
      <c r="A57" s="50" t="s">
        <v>18</v>
      </c>
      <c r="B57" s="50" t="s">
        <v>18</v>
      </c>
      <c r="C57" s="50" t="s">
        <v>22</v>
      </c>
      <c r="D57" s="50" t="s">
        <v>18</v>
      </c>
      <c r="E57" s="50" t="s">
        <v>21</v>
      </c>
      <c r="F57" s="50" t="s">
        <v>18</v>
      </c>
      <c r="G57" s="50" t="s">
        <v>22</v>
      </c>
      <c r="H57" s="50" t="s">
        <v>19</v>
      </c>
      <c r="I57" s="50" t="s">
        <v>24</v>
      </c>
      <c r="J57" s="50" t="s">
        <v>18</v>
      </c>
      <c r="K57" s="50" t="s">
        <v>18</v>
      </c>
      <c r="L57" s="50" t="s">
        <v>19</v>
      </c>
      <c r="M57" s="50" t="s">
        <v>43</v>
      </c>
      <c r="N57" s="50" t="s">
        <v>43</v>
      </c>
      <c r="O57" s="50" t="s">
        <v>43</v>
      </c>
      <c r="P57" s="50" t="s">
        <v>43</v>
      </c>
      <c r="Q57" s="50" t="s">
        <v>43</v>
      </c>
      <c r="R57" s="150" t="s">
        <v>83</v>
      </c>
      <c r="S57" s="51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1000-50-74.8-218.4-87.8</f>
        <v>569.00000000000011</v>
      </c>
      <c r="Y57" s="1">
        <v>1000</v>
      </c>
      <c r="Z57" s="1">
        <v>1000</v>
      </c>
      <c r="AA57" s="55">
        <f>SUM(T57:Z57)</f>
        <v>5717.6</v>
      </c>
      <c r="AB57" s="54">
        <v>2024</v>
      </c>
      <c r="AC57" s="108"/>
      <c r="AD57" s="63"/>
      <c r="AE57" s="63"/>
    </row>
    <row r="58" spans="1:34" s="47" customFormat="1" ht="47.25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152" t="s">
        <v>84</v>
      </c>
      <c r="S58" s="39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1</v>
      </c>
      <c r="Y58" s="2">
        <v>2</v>
      </c>
      <c r="Z58" s="2">
        <v>2</v>
      </c>
      <c r="AA58" s="43">
        <v>2</v>
      </c>
      <c r="AB58" s="39">
        <v>2024</v>
      </c>
      <c r="AC58" s="116"/>
      <c r="AD58" s="95"/>
      <c r="AE58" s="95"/>
    </row>
    <row r="59" spans="1:34" s="64" customFormat="1" ht="31.5" x14ac:dyDescent="0.25">
      <c r="A59" s="50" t="s">
        <v>18</v>
      </c>
      <c r="B59" s="50" t="s">
        <v>18</v>
      </c>
      <c r="C59" s="50" t="s">
        <v>24</v>
      </c>
      <c r="D59" s="50" t="s">
        <v>18</v>
      </c>
      <c r="E59" s="50" t="s">
        <v>21</v>
      </c>
      <c r="F59" s="50" t="s">
        <v>18</v>
      </c>
      <c r="G59" s="50" t="s">
        <v>22</v>
      </c>
      <c r="H59" s="50" t="s">
        <v>19</v>
      </c>
      <c r="I59" s="50" t="s">
        <v>24</v>
      </c>
      <c r="J59" s="50" t="s">
        <v>18</v>
      </c>
      <c r="K59" s="50" t="s">
        <v>18</v>
      </c>
      <c r="L59" s="50" t="s">
        <v>19</v>
      </c>
      <c r="M59" s="50" t="s">
        <v>43</v>
      </c>
      <c r="N59" s="50" t="s">
        <v>43</v>
      </c>
      <c r="O59" s="50" t="s">
        <v>43</v>
      </c>
      <c r="P59" s="50" t="s">
        <v>43</v>
      </c>
      <c r="Q59" s="50" t="s">
        <v>43</v>
      </c>
      <c r="R59" s="150" t="s">
        <v>85</v>
      </c>
      <c r="S59" s="51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f>1100+15-1.3</f>
        <v>1113.7</v>
      </c>
      <c r="Y59" s="1">
        <v>1100</v>
      </c>
      <c r="Z59" s="1">
        <v>1100</v>
      </c>
      <c r="AA59" s="55">
        <f>SUM(T59:Z59)</f>
        <v>6908.0999999999995</v>
      </c>
      <c r="AB59" s="54">
        <v>2024</v>
      </c>
      <c r="AC59" s="33"/>
      <c r="AD59" s="63"/>
      <c r="AE59" s="63"/>
    </row>
    <row r="60" spans="1:34" s="47" customFormat="1" ht="47.25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152" t="s">
        <v>86</v>
      </c>
      <c r="S60" s="39" t="s">
        <v>38</v>
      </c>
      <c r="T60" s="42">
        <v>4</v>
      </c>
      <c r="U60" s="42">
        <v>4</v>
      </c>
      <c r="V60" s="42">
        <v>4</v>
      </c>
      <c r="W60" s="42">
        <v>4</v>
      </c>
      <c r="X60" s="42">
        <v>4</v>
      </c>
      <c r="Y60" s="42">
        <v>4</v>
      </c>
      <c r="Z60" s="42">
        <v>4</v>
      </c>
      <c r="AA60" s="45">
        <v>4</v>
      </c>
      <c r="AB60" s="39">
        <v>2024</v>
      </c>
      <c r="AC60" s="117"/>
      <c r="AD60" s="103"/>
      <c r="AE60" s="97"/>
    </row>
    <row r="61" spans="1:34" s="64" customFormat="1" ht="31.5" x14ac:dyDescent="0.25">
      <c r="A61" s="50" t="s">
        <v>18</v>
      </c>
      <c r="B61" s="50" t="s">
        <v>18</v>
      </c>
      <c r="C61" s="50" t="s">
        <v>21</v>
      </c>
      <c r="D61" s="50" t="s">
        <v>18</v>
      </c>
      <c r="E61" s="50" t="s">
        <v>21</v>
      </c>
      <c r="F61" s="50" t="s">
        <v>18</v>
      </c>
      <c r="G61" s="50" t="s">
        <v>22</v>
      </c>
      <c r="H61" s="50" t="s">
        <v>19</v>
      </c>
      <c r="I61" s="50" t="s">
        <v>24</v>
      </c>
      <c r="J61" s="50" t="s">
        <v>18</v>
      </c>
      <c r="K61" s="50" t="s">
        <v>18</v>
      </c>
      <c r="L61" s="50" t="s">
        <v>19</v>
      </c>
      <c r="M61" s="50" t="s">
        <v>43</v>
      </c>
      <c r="N61" s="50" t="s">
        <v>43</v>
      </c>
      <c r="O61" s="50" t="s">
        <v>43</v>
      </c>
      <c r="P61" s="50" t="s">
        <v>43</v>
      </c>
      <c r="Q61" s="50" t="s">
        <v>43</v>
      </c>
      <c r="R61" s="150" t="s">
        <v>85</v>
      </c>
      <c r="S61" s="51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800+400+264.9-204.9-21</f>
        <v>1239</v>
      </c>
      <c r="Y61" s="1">
        <v>800</v>
      </c>
      <c r="Z61" s="1">
        <v>800</v>
      </c>
      <c r="AA61" s="55">
        <f>SUM(T61:Z61)</f>
        <v>5651.6</v>
      </c>
      <c r="AB61" s="54">
        <v>2024</v>
      </c>
      <c r="AC61" s="110"/>
    </row>
    <row r="62" spans="1:34" s="64" customFormat="1" ht="33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152" t="s">
        <v>87</v>
      </c>
      <c r="S62" s="39" t="s">
        <v>38</v>
      </c>
      <c r="T62" s="42">
        <v>2</v>
      </c>
      <c r="U62" s="42">
        <v>2</v>
      </c>
      <c r="V62" s="42">
        <v>2</v>
      </c>
      <c r="W62" s="42">
        <v>3</v>
      </c>
      <c r="X62" s="42">
        <v>3</v>
      </c>
      <c r="Y62" s="42">
        <v>3</v>
      </c>
      <c r="Z62" s="42">
        <v>3</v>
      </c>
      <c r="AA62" s="45">
        <v>3</v>
      </c>
      <c r="AB62" s="39">
        <v>2024</v>
      </c>
      <c r="AC62" s="33"/>
    </row>
    <row r="63" spans="1:34" s="47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70" t="s">
        <v>88</v>
      </c>
      <c r="S63" s="59" t="s">
        <v>8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60">
        <v>0</v>
      </c>
      <c r="Z63" s="60">
        <v>0</v>
      </c>
      <c r="AA63" s="61">
        <f>T63+U63+V63+W63+X63+Y63</f>
        <v>0</v>
      </c>
      <c r="AB63" s="23">
        <v>2023</v>
      </c>
      <c r="AC63" s="117"/>
      <c r="AD63" s="92"/>
      <c r="AE63" s="95"/>
    </row>
    <row r="64" spans="1:34" s="64" customFormat="1" ht="31.5" x14ac:dyDescent="0.25">
      <c r="A64" s="50" t="s">
        <v>18</v>
      </c>
      <c r="B64" s="50" t="s">
        <v>18</v>
      </c>
      <c r="C64" s="50" t="s">
        <v>25</v>
      </c>
      <c r="D64" s="50" t="s">
        <v>18</v>
      </c>
      <c r="E64" s="50" t="s">
        <v>21</v>
      </c>
      <c r="F64" s="50" t="s">
        <v>18</v>
      </c>
      <c r="G64" s="50" t="s">
        <v>22</v>
      </c>
      <c r="H64" s="50" t="s">
        <v>19</v>
      </c>
      <c r="I64" s="50" t="s">
        <v>24</v>
      </c>
      <c r="J64" s="50" t="s">
        <v>18</v>
      </c>
      <c r="K64" s="50" t="s">
        <v>18</v>
      </c>
      <c r="L64" s="50" t="s">
        <v>19</v>
      </c>
      <c r="M64" s="50" t="s">
        <v>43</v>
      </c>
      <c r="N64" s="50" t="s">
        <v>43</v>
      </c>
      <c r="O64" s="50" t="s">
        <v>43</v>
      </c>
      <c r="P64" s="50" t="s">
        <v>43</v>
      </c>
      <c r="Q64" s="50" t="s">
        <v>43</v>
      </c>
      <c r="R64" s="150" t="s">
        <v>89</v>
      </c>
      <c r="S64" s="51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f>1190-10.7</f>
        <v>1179.3</v>
      </c>
      <c r="Y64" s="1">
        <v>1390</v>
      </c>
      <c r="Z64" s="1">
        <f t="shared" ref="Z64" si="24">600+100</f>
        <v>700</v>
      </c>
      <c r="AA64" s="55">
        <f>SUM(T64:Z64)</f>
        <v>7337.7000000000007</v>
      </c>
      <c r="AB64" s="54">
        <v>2024</v>
      </c>
      <c r="AC64" s="110"/>
    </row>
    <row r="65" spans="1:34" s="64" customFormat="1" ht="33.7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152" t="s">
        <v>90</v>
      </c>
      <c r="S65" s="39" t="s">
        <v>38</v>
      </c>
      <c r="T65" s="42">
        <v>1</v>
      </c>
      <c r="U65" s="42">
        <v>1</v>
      </c>
      <c r="V65" s="42">
        <v>1</v>
      </c>
      <c r="W65" s="42">
        <v>1</v>
      </c>
      <c r="X65" s="42">
        <v>1</v>
      </c>
      <c r="Y65" s="42">
        <v>1</v>
      </c>
      <c r="Z65" s="42">
        <v>1</v>
      </c>
      <c r="AA65" s="45">
        <v>1</v>
      </c>
      <c r="AB65" s="39">
        <v>2024</v>
      </c>
      <c r="AC65" s="33"/>
    </row>
    <row r="66" spans="1:34" s="64" customFormat="1" ht="31.5" x14ac:dyDescent="0.25">
      <c r="A66" s="50"/>
      <c r="B66" s="50"/>
      <c r="C66" s="50"/>
      <c r="D66" s="50" t="s">
        <v>18</v>
      </c>
      <c r="E66" s="50" t="s">
        <v>21</v>
      </c>
      <c r="F66" s="50" t="s">
        <v>18</v>
      </c>
      <c r="G66" s="50" t="s">
        <v>22</v>
      </c>
      <c r="H66" s="50" t="s">
        <v>19</v>
      </c>
      <c r="I66" s="50" t="s">
        <v>24</v>
      </c>
      <c r="J66" s="50" t="s">
        <v>18</v>
      </c>
      <c r="K66" s="50" t="s">
        <v>18</v>
      </c>
      <c r="L66" s="50" t="s">
        <v>19</v>
      </c>
      <c r="M66" s="50" t="s">
        <v>18</v>
      </c>
      <c r="N66" s="50" t="s">
        <v>18</v>
      </c>
      <c r="O66" s="50" t="s">
        <v>18</v>
      </c>
      <c r="P66" s="50" t="s">
        <v>18</v>
      </c>
      <c r="Q66" s="50" t="s">
        <v>18</v>
      </c>
      <c r="R66" s="68" t="s">
        <v>91</v>
      </c>
      <c r="S66" s="54" t="s">
        <v>0</v>
      </c>
      <c r="T66" s="55">
        <f t="shared" ref="T66:Y66" si="25">T68+T74+T81</f>
        <v>3922.5999999999995</v>
      </c>
      <c r="U66" s="55">
        <f t="shared" si="25"/>
        <v>4901.3</v>
      </c>
      <c r="V66" s="55">
        <f>V68+V74+V81</f>
        <v>5627.7999999999993</v>
      </c>
      <c r="W66" s="55">
        <f t="shared" si="25"/>
        <v>5467.3</v>
      </c>
      <c r="X66" s="55">
        <f t="shared" si="25"/>
        <v>7139.3999999999987</v>
      </c>
      <c r="Y66" s="55">
        <f t="shared" si="25"/>
        <v>3045.3</v>
      </c>
      <c r="Z66" s="55">
        <f t="shared" ref="Z66" si="26">Z68+Z74+Z81</f>
        <v>3045.3</v>
      </c>
      <c r="AA66" s="55">
        <f>SUM(T66:Z66)</f>
        <v>33149</v>
      </c>
      <c r="AB66" s="54">
        <v>2024</v>
      </c>
      <c r="AC66" s="110"/>
    </row>
    <row r="67" spans="1:34" s="47" customFormat="1" ht="31.1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71" t="s">
        <v>92</v>
      </c>
      <c r="S67" s="139" t="s">
        <v>38</v>
      </c>
      <c r="T67" s="2">
        <f t="shared" ref="T67:Y67" si="27">T73+T80+T85</f>
        <v>20</v>
      </c>
      <c r="U67" s="2">
        <f t="shared" si="27"/>
        <v>20</v>
      </c>
      <c r="V67" s="2">
        <f t="shared" si="27"/>
        <v>20</v>
      </c>
      <c r="W67" s="2">
        <f t="shared" si="27"/>
        <v>20</v>
      </c>
      <c r="X67" s="2">
        <f t="shared" si="27"/>
        <v>20</v>
      </c>
      <c r="Y67" s="2">
        <f t="shared" si="27"/>
        <v>20</v>
      </c>
      <c r="Z67" s="2">
        <f t="shared" ref="Z67" si="28">Z73+Z80+Z85</f>
        <v>20</v>
      </c>
      <c r="AA67" s="45">
        <v>20</v>
      </c>
      <c r="AB67" s="39">
        <v>2024</v>
      </c>
      <c r="AC67" s="33"/>
    </row>
    <row r="68" spans="1:34" s="64" customFormat="1" ht="31.5" customHeight="1" x14ac:dyDescent="0.25">
      <c r="A68" s="50" t="s">
        <v>18</v>
      </c>
      <c r="B68" s="50" t="s">
        <v>18</v>
      </c>
      <c r="C68" s="50" t="s">
        <v>22</v>
      </c>
      <c r="D68" s="50" t="s">
        <v>18</v>
      </c>
      <c r="E68" s="50" t="s">
        <v>21</v>
      </c>
      <c r="F68" s="50" t="s">
        <v>18</v>
      </c>
      <c r="G68" s="50" t="s">
        <v>22</v>
      </c>
      <c r="H68" s="50" t="s">
        <v>19</v>
      </c>
      <c r="I68" s="50" t="s">
        <v>24</v>
      </c>
      <c r="J68" s="50" t="s">
        <v>18</v>
      </c>
      <c r="K68" s="50" t="s">
        <v>18</v>
      </c>
      <c r="L68" s="50" t="s">
        <v>19</v>
      </c>
      <c r="M68" s="50" t="s">
        <v>18</v>
      </c>
      <c r="N68" s="50" t="s">
        <v>18</v>
      </c>
      <c r="O68" s="50" t="s">
        <v>18</v>
      </c>
      <c r="P68" s="50" t="s">
        <v>18</v>
      </c>
      <c r="Q68" s="50" t="s">
        <v>18</v>
      </c>
      <c r="R68" s="170" t="s">
        <v>93</v>
      </c>
      <c r="S68" s="154" t="s">
        <v>0</v>
      </c>
      <c r="T68" s="1">
        <f>SUM(T69:T72)</f>
        <v>1324.5</v>
      </c>
      <c r="U68" s="1">
        <f t="shared" ref="U68:Z68" si="29">SUM(U69:U72)</f>
        <v>1333.6999999999998</v>
      </c>
      <c r="V68" s="1">
        <f t="shared" si="29"/>
        <v>855.10000000000014</v>
      </c>
      <c r="W68" s="1">
        <f t="shared" si="29"/>
        <v>718.9</v>
      </c>
      <c r="X68" s="1">
        <f t="shared" si="29"/>
        <v>5138.4999999999991</v>
      </c>
      <c r="Y68" s="1">
        <f t="shared" si="29"/>
        <v>619.5</v>
      </c>
      <c r="Z68" s="1">
        <f t="shared" si="29"/>
        <v>619.5</v>
      </c>
      <c r="AA68" s="55">
        <f>SUM(T68:Z68)</f>
        <v>10609.699999999999</v>
      </c>
      <c r="AB68" s="54">
        <v>2024</v>
      </c>
      <c r="AC68" s="109"/>
      <c r="AD68" s="99"/>
      <c r="AE68" s="99"/>
      <c r="AG68" s="100"/>
      <c r="AH68" s="99"/>
    </row>
    <row r="69" spans="1:34" s="64" customFormat="1" x14ac:dyDescent="0.25">
      <c r="A69" s="50" t="s">
        <v>18</v>
      </c>
      <c r="B69" s="50" t="s">
        <v>18</v>
      </c>
      <c r="C69" s="50" t="s">
        <v>22</v>
      </c>
      <c r="D69" s="50" t="s">
        <v>18</v>
      </c>
      <c r="E69" s="50" t="s">
        <v>21</v>
      </c>
      <c r="F69" s="50" t="s">
        <v>18</v>
      </c>
      <c r="G69" s="50" t="s">
        <v>22</v>
      </c>
      <c r="H69" s="50" t="s">
        <v>19</v>
      </c>
      <c r="I69" s="50" t="s">
        <v>24</v>
      </c>
      <c r="J69" s="50" t="s">
        <v>18</v>
      </c>
      <c r="K69" s="50" t="s">
        <v>18</v>
      </c>
      <c r="L69" s="50" t="s">
        <v>19</v>
      </c>
      <c r="M69" s="50" t="s">
        <v>18</v>
      </c>
      <c r="N69" s="50" t="s">
        <v>18</v>
      </c>
      <c r="O69" s="50" t="s">
        <v>23</v>
      </c>
      <c r="P69" s="50" t="s">
        <v>19</v>
      </c>
      <c r="Q69" s="50" t="s">
        <v>24</v>
      </c>
      <c r="R69" s="171"/>
      <c r="S69" s="155"/>
      <c r="T69" s="1">
        <v>0</v>
      </c>
      <c r="U69" s="1">
        <v>0</v>
      </c>
      <c r="V69" s="1">
        <v>0</v>
      </c>
      <c r="W69" s="1">
        <v>0</v>
      </c>
      <c r="X69" s="1">
        <f>99.4-85.5</f>
        <v>13.900000000000006</v>
      </c>
      <c r="Y69" s="1">
        <v>0</v>
      </c>
      <c r="Z69" s="1">
        <v>0</v>
      </c>
      <c r="AA69" s="55">
        <f t="shared" ref="AA69:AA72" si="30">SUM(T69:Z69)</f>
        <v>13.900000000000006</v>
      </c>
      <c r="AB69" s="54">
        <v>2022</v>
      </c>
      <c r="AC69" s="110"/>
    </row>
    <row r="70" spans="1:34" s="64" customFormat="1" x14ac:dyDescent="0.25">
      <c r="A70" s="50" t="s">
        <v>18</v>
      </c>
      <c r="B70" s="50" t="s">
        <v>18</v>
      </c>
      <c r="C70" s="50" t="s">
        <v>22</v>
      </c>
      <c r="D70" s="50" t="s">
        <v>18</v>
      </c>
      <c r="E70" s="50" t="s">
        <v>21</v>
      </c>
      <c r="F70" s="50" t="s">
        <v>18</v>
      </c>
      <c r="G70" s="50" t="s">
        <v>22</v>
      </c>
      <c r="H70" s="50" t="s">
        <v>19</v>
      </c>
      <c r="I70" s="50" t="s">
        <v>24</v>
      </c>
      <c r="J70" s="50" t="s">
        <v>18</v>
      </c>
      <c r="K70" s="50" t="s">
        <v>18</v>
      </c>
      <c r="L70" s="50" t="s">
        <v>19</v>
      </c>
      <c r="M70" s="50" t="s">
        <v>19</v>
      </c>
      <c r="N70" s="50" t="s">
        <v>18</v>
      </c>
      <c r="O70" s="50" t="s">
        <v>23</v>
      </c>
      <c r="P70" s="50" t="s">
        <v>19</v>
      </c>
      <c r="Q70" s="50" t="s">
        <v>24</v>
      </c>
      <c r="R70" s="171"/>
      <c r="S70" s="155"/>
      <c r="T70" s="1">
        <v>0</v>
      </c>
      <c r="U70" s="1">
        <v>0</v>
      </c>
      <c r="V70" s="1">
        <v>0</v>
      </c>
      <c r="W70" s="1">
        <v>0</v>
      </c>
      <c r="X70" s="1">
        <v>4179.7</v>
      </c>
      <c r="Y70" s="1">
        <v>0</v>
      </c>
      <c r="Z70" s="1">
        <v>0</v>
      </c>
      <c r="AA70" s="55">
        <f t="shared" si="30"/>
        <v>4179.7</v>
      </c>
      <c r="AB70" s="54">
        <v>2022</v>
      </c>
      <c r="AC70" s="110"/>
    </row>
    <row r="71" spans="1:34" s="64" customFormat="1" x14ac:dyDescent="0.25">
      <c r="A71" s="50" t="s">
        <v>18</v>
      </c>
      <c r="B71" s="50" t="s">
        <v>18</v>
      </c>
      <c r="C71" s="50" t="s">
        <v>22</v>
      </c>
      <c r="D71" s="50" t="s">
        <v>18</v>
      </c>
      <c r="E71" s="50" t="s">
        <v>21</v>
      </c>
      <c r="F71" s="50" t="s">
        <v>18</v>
      </c>
      <c r="G71" s="50" t="s">
        <v>22</v>
      </c>
      <c r="H71" s="50" t="s">
        <v>19</v>
      </c>
      <c r="I71" s="50" t="s">
        <v>24</v>
      </c>
      <c r="J71" s="50" t="s">
        <v>18</v>
      </c>
      <c r="K71" s="50" t="s">
        <v>18</v>
      </c>
      <c r="L71" s="50" t="s">
        <v>19</v>
      </c>
      <c r="M71" s="50" t="s">
        <v>37</v>
      </c>
      <c r="N71" s="50" t="s">
        <v>18</v>
      </c>
      <c r="O71" s="50" t="s">
        <v>23</v>
      </c>
      <c r="P71" s="50" t="s">
        <v>19</v>
      </c>
      <c r="Q71" s="50" t="s">
        <v>24</v>
      </c>
      <c r="R71" s="171"/>
      <c r="S71" s="155"/>
      <c r="T71" s="1">
        <v>0</v>
      </c>
      <c r="U71" s="1">
        <v>0</v>
      </c>
      <c r="V71" s="1">
        <v>0</v>
      </c>
      <c r="W71" s="1">
        <v>0</v>
      </c>
      <c r="X71" s="1">
        <f>464.5-130.1</f>
        <v>334.4</v>
      </c>
      <c r="Y71" s="1">
        <v>0</v>
      </c>
      <c r="Z71" s="1">
        <v>0</v>
      </c>
      <c r="AA71" s="55">
        <f t="shared" si="30"/>
        <v>334.4</v>
      </c>
      <c r="AB71" s="54">
        <v>2022</v>
      </c>
      <c r="AC71" s="110"/>
    </row>
    <row r="72" spans="1:34" s="64" customFormat="1" x14ac:dyDescent="0.25">
      <c r="A72" s="50" t="s">
        <v>18</v>
      </c>
      <c r="B72" s="50" t="s">
        <v>18</v>
      </c>
      <c r="C72" s="50" t="s">
        <v>22</v>
      </c>
      <c r="D72" s="50" t="s">
        <v>18</v>
      </c>
      <c r="E72" s="50" t="s">
        <v>21</v>
      </c>
      <c r="F72" s="50" t="s">
        <v>18</v>
      </c>
      <c r="G72" s="50" t="s">
        <v>22</v>
      </c>
      <c r="H72" s="50" t="s">
        <v>19</v>
      </c>
      <c r="I72" s="50" t="s">
        <v>24</v>
      </c>
      <c r="J72" s="50" t="s">
        <v>18</v>
      </c>
      <c r="K72" s="50" t="s">
        <v>18</v>
      </c>
      <c r="L72" s="50" t="s">
        <v>19</v>
      </c>
      <c r="M72" s="50" t="s">
        <v>43</v>
      </c>
      <c r="N72" s="50" t="s">
        <v>43</v>
      </c>
      <c r="O72" s="50" t="s">
        <v>43</v>
      </c>
      <c r="P72" s="50" t="s">
        <v>43</v>
      </c>
      <c r="Q72" s="50" t="s">
        <v>43</v>
      </c>
      <c r="R72" s="172"/>
      <c r="S72" s="156"/>
      <c r="T72" s="1">
        <f>2867.4-463.9-79-1000</f>
        <v>1324.5</v>
      </c>
      <c r="U72" s="1">
        <f>1867.4-227.9-273.9-31.9</f>
        <v>1333.6999999999998</v>
      </c>
      <c r="V72" s="1">
        <f>1867.4-1012.3</f>
        <v>855.10000000000014</v>
      </c>
      <c r="W72" s="1">
        <f>619.5+120.1-20.7</f>
        <v>718.9</v>
      </c>
      <c r="X72" s="1">
        <f>620.1-9.6</f>
        <v>610.5</v>
      </c>
      <c r="Y72" s="1">
        <v>619.5</v>
      </c>
      <c r="Z72" s="1">
        <v>619.5</v>
      </c>
      <c r="AA72" s="55">
        <f t="shared" si="30"/>
        <v>6081.7</v>
      </c>
      <c r="AB72" s="54">
        <v>2024</v>
      </c>
      <c r="AC72" s="110"/>
    </row>
    <row r="73" spans="1:34" s="47" customFormat="1" ht="47.25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152" t="s">
        <v>94</v>
      </c>
      <c r="S73" s="39" t="s">
        <v>38</v>
      </c>
      <c r="T73" s="2">
        <v>14</v>
      </c>
      <c r="U73" s="2">
        <v>14</v>
      </c>
      <c r="V73" s="2">
        <v>14</v>
      </c>
      <c r="W73" s="2">
        <v>14</v>
      </c>
      <c r="X73" s="42">
        <v>14</v>
      </c>
      <c r="Y73" s="42">
        <v>14</v>
      </c>
      <c r="Z73" s="42">
        <v>14</v>
      </c>
      <c r="AA73" s="45">
        <v>14</v>
      </c>
      <c r="AB73" s="39">
        <v>2024</v>
      </c>
      <c r="AC73" s="33"/>
    </row>
    <row r="74" spans="1:34" s="64" customFormat="1" x14ac:dyDescent="0.25">
      <c r="A74" s="50" t="s">
        <v>18</v>
      </c>
      <c r="B74" s="50" t="s">
        <v>18</v>
      </c>
      <c r="C74" s="50" t="s">
        <v>24</v>
      </c>
      <c r="D74" s="50" t="s">
        <v>18</v>
      </c>
      <c r="E74" s="50" t="s">
        <v>21</v>
      </c>
      <c r="F74" s="50" t="s">
        <v>18</v>
      </c>
      <c r="G74" s="50" t="s">
        <v>22</v>
      </c>
      <c r="H74" s="50" t="s">
        <v>19</v>
      </c>
      <c r="I74" s="50" t="s">
        <v>24</v>
      </c>
      <c r="J74" s="50" t="s">
        <v>18</v>
      </c>
      <c r="K74" s="50" t="s">
        <v>18</v>
      </c>
      <c r="L74" s="50" t="s">
        <v>19</v>
      </c>
      <c r="M74" s="50" t="s">
        <v>18</v>
      </c>
      <c r="N74" s="50" t="s">
        <v>18</v>
      </c>
      <c r="O74" s="50" t="s">
        <v>18</v>
      </c>
      <c r="P74" s="50" t="s">
        <v>18</v>
      </c>
      <c r="Q74" s="50" t="s">
        <v>18</v>
      </c>
      <c r="R74" s="169" t="s">
        <v>93</v>
      </c>
      <c r="S74" s="154" t="s">
        <v>0</v>
      </c>
      <c r="T74" s="1">
        <f>SUM(T75:T79)</f>
        <v>501.8</v>
      </c>
      <c r="U74" s="1">
        <f t="shared" ref="U74:Z74" si="31">SUM(U75:U79)</f>
        <v>1483.3</v>
      </c>
      <c r="V74" s="1">
        <f t="shared" si="31"/>
        <v>1744.9</v>
      </c>
      <c r="W74" s="1">
        <f t="shared" si="31"/>
        <v>3236.9</v>
      </c>
      <c r="X74" s="1">
        <f t="shared" si="31"/>
        <v>635.20000000000005</v>
      </c>
      <c r="Y74" s="1">
        <f t="shared" si="31"/>
        <v>870.5</v>
      </c>
      <c r="Z74" s="1">
        <f t="shared" si="31"/>
        <v>870.5</v>
      </c>
      <c r="AA74" s="55">
        <f>SUM(T74:Z74)</f>
        <v>9343.0999999999985</v>
      </c>
      <c r="AB74" s="54">
        <v>2024</v>
      </c>
      <c r="AC74" s="110"/>
    </row>
    <row r="75" spans="1:34" s="64" customFormat="1" x14ac:dyDescent="0.25">
      <c r="A75" s="50" t="s">
        <v>18</v>
      </c>
      <c r="B75" s="50" t="s">
        <v>18</v>
      </c>
      <c r="C75" s="50" t="s">
        <v>24</v>
      </c>
      <c r="D75" s="50" t="s">
        <v>18</v>
      </c>
      <c r="E75" s="50" t="s">
        <v>21</v>
      </c>
      <c r="F75" s="50" t="s">
        <v>18</v>
      </c>
      <c r="G75" s="50" t="s">
        <v>22</v>
      </c>
      <c r="H75" s="50" t="s">
        <v>19</v>
      </c>
      <c r="I75" s="50" t="s">
        <v>24</v>
      </c>
      <c r="J75" s="50" t="s">
        <v>18</v>
      </c>
      <c r="K75" s="50" t="s">
        <v>18</v>
      </c>
      <c r="L75" s="50" t="s">
        <v>19</v>
      </c>
      <c r="M75" s="50" t="s">
        <v>19</v>
      </c>
      <c r="N75" s="50" t="s">
        <v>18</v>
      </c>
      <c r="O75" s="50" t="s">
        <v>20</v>
      </c>
      <c r="P75" s="50" t="s">
        <v>169</v>
      </c>
      <c r="Q75" s="50" t="s">
        <v>18</v>
      </c>
      <c r="R75" s="169"/>
      <c r="S75" s="155"/>
      <c r="T75" s="1">
        <v>0</v>
      </c>
      <c r="U75" s="1">
        <v>685.2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55">
        <f t="shared" ref="AA75:AA79" si="32">SUM(T75:Z75)</f>
        <v>685.2</v>
      </c>
      <c r="AB75" s="54">
        <v>2019</v>
      </c>
      <c r="AC75" s="110"/>
    </row>
    <row r="76" spans="1:34" s="64" customFormat="1" x14ac:dyDescent="0.25">
      <c r="A76" s="50" t="s">
        <v>18</v>
      </c>
      <c r="B76" s="50" t="s">
        <v>18</v>
      </c>
      <c r="C76" s="50" t="s">
        <v>24</v>
      </c>
      <c r="D76" s="50" t="s">
        <v>18</v>
      </c>
      <c r="E76" s="50" t="s">
        <v>21</v>
      </c>
      <c r="F76" s="50" t="s">
        <v>18</v>
      </c>
      <c r="G76" s="50" t="s">
        <v>22</v>
      </c>
      <c r="H76" s="50" t="s">
        <v>19</v>
      </c>
      <c r="I76" s="50" t="s">
        <v>24</v>
      </c>
      <c r="J76" s="50" t="s">
        <v>18</v>
      </c>
      <c r="K76" s="50" t="s">
        <v>18</v>
      </c>
      <c r="L76" s="50" t="s">
        <v>19</v>
      </c>
      <c r="M76" s="50" t="s">
        <v>37</v>
      </c>
      <c r="N76" s="50" t="s">
        <v>18</v>
      </c>
      <c r="O76" s="50" t="s">
        <v>20</v>
      </c>
      <c r="P76" s="50" t="s">
        <v>169</v>
      </c>
      <c r="Q76" s="50" t="s">
        <v>18</v>
      </c>
      <c r="R76" s="169"/>
      <c r="S76" s="155"/>
      <c r="T76" s="1">
        <v>0</v>
      </c>
      <c r="U76" s="1">
        <f>685.2-212.4</f>
        <v>472.80000000000007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55">
        <f t="shared" si="32"/>
        <v>472.80000000000007</v>
      </c>
      <c r="AB76" s="54">
        <v>2019</v>
      </c>
      <c r="AC76" s="110"/>
    </row>
    <row r="77" spans="1:34" s="64" customFormat="1" x14ac:dyDescent="0.25">
      <c r="A77" s="50" t="s">
        <v>18</v>
      </c>
      <c r="B77" s="50" t="s">
        <v>18</v>
      </c>
      <c r="C77" s="50" t="s">
        <v>24</v>
      </c>
      <c r="D77" s="50" t="s">
        <v>18</v>
      </c>
      <c r="E77" s="50" t="s">
        <v>21</v>
      </c>
      <c r="F77" s="50" t="s">
        <v>18</v>
      </c>
      <c r="G77" s="50" t="s">
        <v>22</v>
      </c>
      <c r="H77" s="50" t="s">
        <v>19</v>
      </c>
      <c r="I77" s="50" t="s">
        <v>24</v>
      </c>
      <c r="J77" s="50" t="s">
        <v>18</v>
      </c>
      <c r="K77" s="50" t="s">
        <v>18</v>
      </c>
      <c r="L77" s="50" t="s">
        <v>19</v>
      </c>
      <c r="M77" s="50" t="s">
        <v>19</v>
      </c>
      <c r="N77" s="50" t="s">
        <v>18</v>
      </c>
      <c r="O77" s="50" t="s">
        <v>23</v>
      </c>
      <c r="P77" s="50" t="s">
        <v>19</v>
      </c>
      <c r="Q77" s="50" t="s">
        <v>19</v>
      </c>
      <c r="R77" s="169"/>
      <c r="S77" s="155"/>
      <c r="T77" s="1">
        <v>0</v>
      </c>
      <c r="U77" s="1">
        <v>0</v>
      </c>
      <c r="V77" s="1">
        <v>1100</v>
      </c>
      <c r="W77" s="1">
        <f>0+2308.5</f>
        <v>2308.5</v>
      </c>
      <c r="X77" s="1">
        <v>0</v>
      </c>
      <c r="Y77" s="1">
        <v>0</v>
      </c>
      <c r="Z77" s="1">
        <v>0</v>
      </c>
      <c r="AA77" s="55">
        <f t="shared" si="32"/>
        <v>3408.5</v>
      </c>
      <c r="AB77" s="54">
        <v>2021</v>
      </c>
      <c r="AC77" s="110"/>
    </row>
    <row r="78" spans="1:34" s="64" customFormat="1" x14ac:dyDescent="0.25">
      <c r="A78" s="50" t="s">
        <v>18</v>
      </c>
      <c r="B78" s="50" t="s">
        <v>18</v>
      </c>
      <c r="C78" s="50" t="s">
        <v>24</v>
      </c>
      <c r="D78" s="50" t="s">
        <v>18</v>
      </c>
      <c r="E78" s="50" t="s">
        <v>21</v>
      </c>
      <c r="F78" s="50" t="s">
        <v>18</v>
      </c>
      <c r="G78" s="50" t="s">
        <v>22</v>
      </c>
      <c r="H78" s="50" t="s">
        <v>19</v>
      </c>
      <c r="I78" s="50" t="s">
        <v>24</v>
      </c>
      <c r="J78" s="50" t="s">
        <v>18</v>
      </c>
      <c r="K78" s="50" t="s">
        <v>18</v>
      </c>
      <c r="L78" s="50" t="s">
        <v>19</v>
      </c>
      <c r="M78" s="50" t="s">
        <v>37</v>
      </c>
      <c r="N78" s="50" t="s">
        <v>18</v>
      </c>
      <c r="O78" s="50" t="s">
        <v>23</v>
      </c>
      <c r="P78" s="50" t="s">
        <v>19</v>
      </c>
      <c r="Q78" s="50" t="s">
        <v>19</v>
      </c>
      <c r="R78" s="169"/>
      <c r="S78" s="155"/>
      <c r="T78" s="1">
        <v>0</v>
      </c>
      <c r="U78" s="1">
        <v>0</v>
      </c>
      <c r="V78" s="1">
        <f>149.5-11</f>
        <v>138.5</v>
      </c>
      <c r="W78" s="1">
        <f>0+393.6-49.2</f>
        <v>344.40000000000003</v>
      </c>
      <c r="X78" s="1">
        <v>0</v>
      </c>
      <c r="Y78" s="1">
        <v>0</v>
      </c>
      <c r="Z78" s="1">
        <v>0</v>
      </c>
      <c r="AA78" s="55">
        <f t="shared" si="32"/>
        <v>482.90000000000003</v>
      </c>
      <c r="AB78" s="54">
        <v>2021</v>
      </c>
      <c r="AC78" s="110"/>
    </row>
    <row r="79" spans="1:34" s="64" customFormat="1" x14ac:dyDescent="0.25">
      <c r="A79" s="50" t="s">
        <v>18</v>
      </c>
      <c r="B79" s="50" t="s">
        <v>18</v>
      </c>
      <c r="C79" s="50" t="s">
        <v>24</v>
      </c>
      <c r="D79" s="50" t="s">
        <v>18</v>
      </c>
      <c r="E79" s="50" t="s">
        <v>21</v>
      </c>
      <c r="F79" s="50" t="s">
        <v>18</v>
      </c>
      <c r="G79" s="50" t="s">
        <v>22</v>
      </c>
      <c r="H79" s="50" t="s">
        <v>19</v>
      </c>
      <c r="I79" s="50" t="s">
        <v>24</v>
      </c>
      <c r="J79" s="50" t="s">
        <v>18</v>
      </c>
      <c r="K79" s="50" t="s">
        <v>18</v>
      </c>
      <c r="L79" s="50" t="s">
        <v>19</v>
      </c>
      <c r="M79" s="50" t="s">
        <v>43</v>
      </c>
      <c r="N79" s="50" t="s">
        <v>43</v>
      </c>
      <c r="O79" s="50" t="s">
        <v>43</v>
      </c>
      <c r="P79" s="50" t="s">
        <v>43</v>
      </c>
      <c r="Q79" s="50" t="s">
        <v>43</v>
      </c>
      <c r="R79" s="169"/>
      <c r="S79" s="156"/>
      <c r="T79" s="1">
        <v>501.8</v>
      </c>
      <c r="U79" s="1">
        <v>325.3</v>
      </c>
      <c r="V79" s="1">
        <f>870.5-149.5-214.6</f>
        <v>506.4</v>
      </c>
      <c r="W79" s="1">
        <f>870.5-335.7+49.2</f>
        <v>584</v>
      </c>
      <c r="X79" s="1">
        <f>870.5-363-22.3+150</f>
        <v>635.20000000000005</v>
      </c>
      <c r="Y79" s="1">
        <v>870.5</v>
      </c>
      <c r="Z79" s="1">
        <v>870.5</v>
      </c>
      <c r="AA79" s="55">
        <f t="shared" si="32"/>
        <v>4293.7</v>
      </c>
      <c r="AB79" s="54">
        <v>2024</v>
      </c>
      <c r="AC79" s="110"/>
    </row>
    <row r="80" spans="1:34" s="47" customFormat="1" ht="48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152" t="s">
        <v>95</v>
      </c>
      <c r="S80" s="39" t="s">
        <v>38</v>
      </c>
      <c r="T80" s="2">
        <v>1</v>
      </c>
      <c r="U80" s="2">
        <v>1</v>
      </c>
      <c r="V80" s="42">
        <v>1</v>
      </c>
      <c r="W80" s="2">
        <v>1</v>
      </c>
      <c r="X80" s="2">
        <v>1</v>
      </c>
      <c r="Y80" s="2">
        <v>1</v>
      </c>
      <c r="Z80" s="2">
        <v>1</v>
      </c>
      <c r="AA80" s="43">
        <v>1</v>
      </c>
      <c r="AB80" s="39">
        <v>2024</v>
      </c>
      <c r="AC80" s="117"/>
      <c r="AD80" s="99"/>
      <c r="AE80" s="46"/>
    </row>
    <row r="81" spans="1:30" s="64" customFormat="1" x14ac:dyDescent="0.25">
      <c r="A81" s="50" t="s">
        <v>18</v>
      </c>
      <c r="B81" s="50" t="s">
        <v>18</v>
      </c>
      <c r="C81" s="50" t="s">
        <v>21</v>
      </c>
      <c r="D81" s="50" t="s">
        <v>18</v>
      </c>
      <c r="E81" s="50" t="s">
        <v>21</v>
      </c>
      <c r="F81" s="50" t="s">
        <v>18</v>
      </c>
      <c r="G81" s="50" t="s">
        <v>22</v>
      </c>
      <c r="H81" s="50" t="s">
        <v>19</v>
      </c>
      <c r="I81" s="50" t="s">
        <v>24</v>
      </c>
      <c r="J81" s="50" t="s">
        <v>18</v>
      </c>
      <c r="K81" s="50" t="s">
        <v>18</v>
      </c>
      <c r="L81" s="50" t="s">
        <v>19</v>
      </c>
      <c r="M81" s="50" t="s">
        <v>18</v>
      </c>
      <c r="N81" s="50" t="s">
        <v>18</v>
      </c>
      <c r="O81" s="50" t="s">
        <v>18</v>
      </c>
      <c r="P81" s="50" t="s">
        <v>18</v>
      </c>
      <c r="Q81" s="50" t="s">
        <v>18</v>
      </c>
      <c r="R81" s="170" t="s">
        <v>96</v>
      </c>
      <c r="S81" s="154" t="s">
        <v>0</v>
      </c>
      <c r="T81" s="1">
        <f>T82+T83+T84</f>
        <v>2096.2999999999997</v>
      </c>
      <c r="U81" s="1">
        <f t="shared" ref="U81:Z81" si="33">U82+U83+U84</f>
        <v>2084.3000000000002</v>
      </c>
      <c r="V81" s="1">
        <f t="shared" si="33"/>
        <v>3027.7999999999997</v>
      </c>
      <c r="W81" s="1">
        <f t="shared" si="33"/>
        <v>1511.5</v>
      </c>
      <c r="X81" s="1">
        <f t="shared" si="33"/>
        <v>1365.7</v>
      </c>
      <c r="Y81" s="1">
        <f t="shared" si="33"/>
        <v>1555.3</v>
      </c>
      <c r="Z81" s="1">
        <f t="shared" si="33"/>
        <v>1555.3</v>
      </c>
      <c r="AA81" s="55">
        <f>SUM(T81:Z81)</f>
        <v>13196.199999999999</v>
      </c>
      <c r="AB81" s="54">
        <v>2024</v>
      </c>
      <c r="AC81" s="110"/>
    </row>
    <row r="82" spans="1:30" s="64" customFormat="1" x14ac:dyDescent="0.25">
      <c r="A82" s="50" t="s">
        <v>18</v>
      </c>
      <c r="B82" s="50" t="s">
        <v>18</v>
      </c>
      <c r="C82" s="50" t="s">
        <v>21</v>
      </c>
      <c r="D82" s="50" t="s">
        <v>18</v>
      </c>
      <c r="E82" s="50" t="s">
        <v>21</v>
      </c>
      <c r="F82" s="50" t="s">
        <v>18</v>
      </c>
      <c r="G82" s="50" t="s">
        <v>22</v>
      </c>
      <c r="H82" s="50" t="s">
        <v>19</v>
      </c>
      <c r="I82" s="50" t="s">
        <v>24</v>
      </c>
      <c r="J82" s="50" t="s">
        <v>18</v>
      </c>
      <c r="K82" s="50" t="s">
        <v>18</v>
      </c>
      <c r="L82" s="50" t="s">
        <v>19</v>
      </c>
      <c r="M82" s="50" t="s">
        <v>19</v>
      </c>
      <c r="N82" s="50" t="s">
        <v>18</v>
      </c>
      <c r="O82" s="50" t="s">
        <v>23</v>
      </c>
      <c r="P82" s="50" t="s">
        <v>19</v>
      </c>
      <c r="Q82" s="50" t="s">
        <v>20</v>
      </c>
      <c r="R82" s="171"/>
      <c r="S82" s="155"/>
      <c r="T82" s="1">
        <v>0</v>
      </c>
      <c r="U82" s="1">
        <v>0</v>
      </c>
      <c r="V82" s="1">
        <v>1100</v>
      </c>
      <c r="W82" s="1">
        <v>0</v>
      </c>
      <c r="X82" s="1">
        <v>0</v>
      </c>
      <c r="Y82" s="1">
        <v>0</v>
      </c>
      <c r="Z82" s="1">
        <v>0</v>
      </c>
      <c r="AA82" s="55">
        <f t="shared" ref="AA82:AA84" si="34">SUM(T82:Z82)</f>
        <v>1100</v>
      </c>
      <c r="AB82" s="54">
        <v>2020</v>
      </c>
      <c r="AC82" s="110"/>
    </row>
    <row r="83" spans="1:30" s="64" customFormat="1" x14ac:dyDescent="0.25">
      <c r="A83" s="50" t="s">
        <v>18</v>
      </c>
      <c r="B83" s="50" t="s">
        <v>18</v>
      </c>
      <c r="C83" s="50" t="s">
        <v>21</v>
      </c>
      <c r="D83" s="50" t="s">
        <v>18</v>
      </c>
      <c r="E83" s="50" t="s">
        <v>21</v>
      </c>
      <c r="F83" s="50" t="s">
        <v>18</v>
      </c>
      <c r="G83" s="50" t="s">
        <v>22</v>
      </c>
      <c r="H83" s="50" t="s">
        <v>19</v>
      </c>
      <c r="I83" s="50" t="s">
        <v>24</v>
      </c>
      <c r="J83" s="50" t="s">
        <v>18</v>
      </c>
      <c r="K83" s="50" t="s">
        <v>18</v>
      </c>
      <c r="L83" s="50" t="s">
        <v>19</v>
      </c>
      <c r="M83" s="50" t="s">
        <v>37</v>
      </c>
      <c r="N83" s="50" t="s">
        <v>18</v>
      </c>
      <c r="O83" s="50" t="s">
        <v>23</v>
      </c>
      <c r="P83" s="50" t="s">
        <v>19</v>
      </c>
      <c r="Q83" s="50" t="s">
        <v>20</v>
      </c>
      <c r="R83" s="171"/>
      <c r="S83" s="155"/>
      <c r="T83" s="1">
        <v>0</v>
      </c>
      <c r="U83" s="1">
        <v>0</v>
      </c>
      <c r="V83" s="1">
        <f>111-71.5</f>
        <v>39.5</v>
      </c>
      <c r="W83" s="1">
        <v>0</v>
      </c>
      <c r="X83" s="1">
        <v>0</v>
      </c>
      <c r="Y83" s="1">
        <v>0</v>
      </c>
      <c r="Z83" s="1">
        <v>0</v>
      </c>
      <c r="AA83" s="55">
        <f t="shared" si="34"/>
        <v>39.5</v>
      </c>
      <c r="AB83" s="54">
        <v>2020</v>
      </c>
      <c r="AC83" s="110"/>
    </row>
    <row r="84" spans="1:30" s="64" customFormat="1" x14ac:dyDescent="0.25">
      <c r="A84" s="50" t="s">
        <v>18</v>
      </c>
      <c r="B84" s="50" t="s">
        <v>18</v>
      </c>
      <c r="C84" s="50" t="s">
        <v>21</v>
      </c>
      <c r="D84" s="50" t="s">
        <v>18</v>
      </c>
      <c r="E84" s="50" t="s">
        <v>21</v>
      </c>
      <c r="F84" s="50" t="s">
        <v>18</v>
      </c>
      <c r="G84" s="50" t="s">
        <v>22</v>
      </c>
      <c r="H84" s="50" t="s">
        <v>19</v>
      </c>
      <c r="I84" s="50" t="s">
        <v>24</v>
      </c>
      <c r="J84" s="50" t="s">
        <v>18</v>
      </c>
      <c r="K84" s="50" t="s">
        <v>18</v>
      </c>
      <c r="L84" s="50" t="s">
        <v>19</v>
      </c>
      <c r="M84" s="50" t="s">
        <v>43</v>
      </c>
      <c r="N84" s="50" t="s">
        <v>43</v>
      </c>
      <c r="O84" s="50" t="s">
        <v>43</v>
      </c>
      <c r="P84" s="50" t="s">
        <v>43</v>
      </c>
      <c r="Q84" s="50" t="s">
        <v>43</v>
      </c>
      <c r="R84" s="172"/>
      <c r="S84" s="156"/>
      <c r="T84" s="1">
        <f>3665-832.4-710-26.3</f>
        <v>2096.2999999999997</v>
      </c>
      <c r="U84" s="1">
        <f>3624.7-120.3-282.1-1110.8-27.2</f>
        <v>2084.3000000000002</v>
      </c>
      <c r="V84" s="1">
        <f>3624.7-553-111-1072.4</f>
        <v>1888.2999999999997</v>
      </c>
      <c r="W84" s="1">
        <f>1555.3-43.8</f>
        <v>1511.5</v>
      </c>
      <c r="X84" s="1">
        <f>1555.3+120-264.9-44.7</f>
        <v>1365.7</v>
      </c>
      <c r="Y84" s="1">
        <v>1555.3</v>
      </c>
      <c r="Z84" s="1">
        <v>1555.3</v>
      </c>
      <c r="AA84" s="55">
        <f t="shared" si="34"/>
        <v>12056.699999999999</v>
      </c>
      <c r="AB84" s="54">
        <v>2024</v>
      </c>
      <c r="AC84" s="110"/>
    </row>
    <row r="85" spans="1:30" s="64" customFormat="1" ht="48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152" t="s">
        <v>97</v>
      </c>
      <c r="S85" s="39" t="s">
        <v>38</v>
      </c>
      <c r="T85" s="42">
        <v>5</v>
      </c>
      <c r="U85" s="42">
        <v>5</v>
      </c>
      <c r="V85" s="42">
        <v>5</v>
      </c>
      <c r="W85" s="42">
        <v>5</v>
      </c>
      <c r="X85" s="42">
        <v>5</v>
      </c>
      <c r="Y85" s="42">
        <v>5</v>
      </c>
      <c r="Z85" s="42">
        <v>5</v>
      </c>
      <c r="AA85" s="45">
        <v>5</v>
      </c>
      <c r="AB85" s="39">
        <v>2024</v>
      </c>
      <c r="AC85" s="113"/>
      <c r="AD85" s="99"/>
    </row>
    <row r="86" spans="1:30" s="64" customFormat="1" ht="31.5" x14ac:dyDescent="0.25">
      <c r="A86" s="50"/>
      <c r="B86" s="50"/>
      <c r="C86" s="50"/>
      <c r="D86" s="50" t="s">
        <v>18</v>
      </c>
      <c r="E86" s="50" t="s">
        <v>21</v>
      </c>
      <c r="F86" s="50" t="s">
        <v>18</v>
      </c>
      <c r="G86" s="50" t="s">
        <v>22</v>
      </c>
      <c r="H86" s="50" t="s">
        <v>19</v>
      </c>
      <c r="I86" s="50" t="s">
        <v>24</v>
      </c>
      <c r="J86" s="50" t="s">
        <v>18</v>
      </c>
      <c r="K86" s="50" t="s">
        <v>18</v>
      </c>
      <c r="L86" s="50" t="s">
        <v>19</v>
      </c>
      <c r="M86" s="50" t="s">
        <v>43</v>
      </c>
      <c r="N86" s="50" t="s">
        <v>43</v>
      </c>
      <c r="O86" s="50" t="s">
        <v>43</v>
      </c>
      <c r="P86" s="50" t="s">
        <v>43</v>
      </c>
      <c r="Q86" s="50" t="s">
        <v>43</v>
      </c>
      <c r="R86" s="68" t="s">
        <v>98</v>
      </c>
      <c r="S86" s="54" t="s">
        <v>0</v>
      </c>
      <c r="T86" s="55">
        <f t="shared" ref="T86:Y86" si="35">T90+T94+T98+T102+T106</f>
        <v>4566.3999999999996</v>
      </c>
      <c r="U86" s="55">
        <f>U90+U94+U98+U102+U106</f>
        <v>7525.4000000000005</v>
      </c>
      <c r="V86" s="55">
        <f t="shared" si="35"/>
        <v>8494.6</v>
      </c>
      <c r="W86" s="55">
        <f t="shared" si="35"/>
        <v>11214.1</v>
      </c>
      <c r="X86" s="55">
        <f t="shared" si="35"/>
        <v>6611.4000000000005</v>
      </c>
      <c r="Y86" s="55">
        <f t="shared" si="35"/>
        <v>6182.2</v>
      </c>
      <c r="Z86" s="55">
        <f t="shared" ref="Z86" si="36">Z90+Z94+Z98+Z102+Z106</f>
        <v>6400</v>
      </c>
      <c r="AA86" s="55">
        <f>SUM(T86:Z86)</f>
        <v>50994.1</v>
      </c>
      <c r="AB86" s="54">
        <v>2024</v>
      </c>
      <c r="AC86" s="110"/>
    </row>
    <row r="87" spans="1:30" s="64" customFormat="1" ht="47.2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71" t="s">
        <v>99</v>
      </c>
      <c r="S87" s="139" t="s">
        <v>38</v>
      </c>
      <c r="T87" s="42">
        <f t="shared" ref="T87:Y88" si="37">T91+T95+T99+T103</f>
        <v>65</v>
      </c>
      <c r="U87" s="42">
        <f t="shared" si="37"/>
        <v>198</v>
      </c>
      <c r="V87" s="42">
        <f t="shared" si="37"/>
        <v>310</v>
      </c>
      <c r="W87" s="42">
        <f t="shared" si="37"/>
        <v>136</v>
      </c>
      <c r="X87" s="42">
        <f t="shared" si="37"/>
        <v>98</v>
      </c>
      <c r="Y87" s="42">
        <f t="shared" si="37"/>
        <v>146</v>
      </c>
      <c r="Z87" s="42">
        <f t="shared" ref="Z87" si="38">Z91+Z95+Z99+Z103</f>
        <v>146</v>
      </c>
      <c r="AA87" s="45">
        <f>SUM(T87:Z87)</f>
        <v>1099</v>
      </c>
      <c r="AB87" s="139">
        <v>2024</v>
      </c>
      <c r="AC87" s="33"/>
    </row>
    <row r="88" spans="1:30" s="64" customFormat="1" ht="31.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71" t="s">
        <v>100</v>
      </c>
      <c r="S88" s="139" t="s">
        <v>38</v>
      </c>
      <c r="T88" s="42">
        <f t="shared" si="37"/>
        <v>16</v>
      </c>
      <c r="U88" s="42">
        <f t="shared" si="37"/>
        <v>16</v>
      </c>
      <c r="V88" s="42">
        <f t="shared" si="37"/>
        <v>19</v>
      </c>
      <c r="W88" s="42">
        <f t="shared" si="37"/>
        <v>18</v>
      </c>
      <c r="X88" s="42">
        <f t="shared" si="37"/>
        <v>17</v>
      </c>
      <c r="Y88" s="42">
        <f t="shared" si="37"/>
        <v>19</v>
      </c>
      <c r="Z88" s="42">
        <f t="shared" ref="Z88" si="39">Z92+Z96+Z100+Z104</f>
        <v>19</v>
      </c>
      <c r="AA88" s="45">
        <v>17</v>
      </c>
      <c r="AB88" s="139">
        <v>2024</v>
      </c>
      <c r="AC88" s="33"/>
    </row>
    <row r="89" spans="1:30" ht="46.9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71" t="s">
        <v>292</v>
      </c>
      <c r="S89" s="139" t="s">
        <v>38</v>
      </c>
      <c r="T89" s="42">
        <f>T93+T97+T101+T107+T105</f>
        <v>25</v>
      </c>
      <c r="U89" s="42">
        <f>U93+U97+U101+U107+U105</f>
        <v>77</v>
      </c>
      <c r="V89" s="42">
        <f>V93+V97+V101+V107+V105</f>
        <v>74</v>
      </c>
      <c r="W89" s="42">
        <f t="shared" ref="W89:Y89" si="40">W93+W97+W101+W107+W105</f>
        <v>63</v>
      </c>
      <c r="X89" s="42">
        <f t="shared" si="40"/>
        <v>60</v>
      </c>
      <c r="Y89" s="42">
        <f t="shared" si="40"/>
        <v>34</v>
      </c>
      <c r="Z89" s="42">
        <f t="shared" ref="Z89" si="41">Z93+Z97+Z101+Z107+Z105</f>
        <v>34</v>
      </c>
      <c r="AA89" s="45">
        <f>SUM(T89:Z89)</f>
        <v>367</v>
      </c>
      <c r="AB89" s="139">
        <v>2024</v>
      </c>
      <c r="AC89" s="113"/>
      <c r="AD89" s="92"/>
    </row>
    <row r="90" spans="1:30" ht="31.5" x14ac:dyDescent="0.25">
      <c r="A90" s="50" t="s">
        <v>18</v>
      </c>
      <c r="B90" s="50" t="s">
        <v>18</v>
      </c>
      <c r="C90" s="50" t="s">
        <v>22</v>
      </c>
      <c r="D90" s="50" t="s">
        <v>18</v>
      </c>
      <c r="E90" s="50" t="s">
        <v>21</v>
      </c>
      <c r="F90" s="50" t="s">
        <v>18</v>
      </c>
      <c r="G90" s="50" t="s">
        <v>22</v>
      </c>
      <c r="H90" s="50" t="s">
        <v>19</v>
      </c>
      <c r="I90" s="50" t="s">
        <v>24</v>
      </c>
      <c r="J90" s="50" t="s">
        <v>18</v>
      </c>
      <c r="K90" s="50" t="s">
        <v>18</v>
      </c>
      <c r="L90" s="50" t="s">
        <v>19</v>
      </c>
      <c r="M90" s="50" t="s">
        <v>43</v>
      </c>
      <c r="N90" s="50" t="s">
        <v>43</v>
      </c>
      <c r="O90" s="50" t="s">
        <v>43</v>
      </c>
      <c r="P90" s="50" t="s">
        <v>43</v>
      </c>
      <c r="Q90" s="50" t="s">
        <v>43</v>
      </c>
      <c r="R90" s="150" t="s">
        <v>101</v>
      </c>
      <c r="S90" s="51" t="s">
        <v>0</v>
      </c>
      <c r="T90" s="1">
        <f>1780.9-223.4+140-15.2</f>
        <v>1682.3</v>
      </c>
      <c r="U90" s="1">
        <f>1650-73+745.2</f>
        <v>2322.1999999999998</v>
      </c>
      <c r="V90" s="1">
        <v>1650</v>
      </c>
      <c r="W90" s="1">
        <f>1500+855.8+1378.8-389.3</f>
        <v>3345.3</v>
      </c>
      <c r="X90" s="1">
        <f>1500-25.2</f>
        <v>1474.8</v>
      </c>
      <c r="Y90" s="1">
        <v>1500</v>
      </c>
      <c r="Z90" s="1">
        <v>1500</v>
      </c>
      <c r="AA90" s="55">
        <f>SUM(T90:Z90)</f>
        <v>13474.599999999999</v>
      </c>
      <c r="AB90" s="54">
        <v>2024</v>
      </c>
      <c r="AC90" s="110"/>
    </row>
    <row r="91" spans="1:30" ht="46.1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71" t="s">
        <v>102</v>
      </c>
      <c r="S91" s="139" t="s">
        <v>38</v>
      </c>
      <c r="T91" s="2">
        <v>33</v>
      </c>
      <c r="U91" s="2">
        <v>38</v>
      </c>
      <c r="V91" s="2">
        <v>20</v>
      </c>
      <c r="W91" s="2">
        <v>27</v>
      </c>
      <c r="X91" s="2">
        <v>19</v>
      </c>
      <c r="Y91" s="2">
        <v>20</v>
      </c>
      <c r="Z91" s="2">
        <v>20</v>
      </c>
      <c r="AA91" s="45">
        <f>SUM(T91:Z91)</f>
        <v>177</v>
      </c>
      <c r="AB91" s="39">
        <v>2024</v>
      </c>
      <c r="AC91" s="33"/>
    </row>
    <row r="92" spans="1:30" ht="32.2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71" t="s">
        <v>103</v>
      </c>
      <c r="S92" s="139" t="s">
        <v>38</v>
      </c>
      <c r="T92" s="2">
        <v>4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43">
        <v>4</v>
      </c>
      <c r="AB92" s="39">
        <v>2024</v>
      </c>
      <c r="AC92" s="33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71" t="s">
        <v>293</v>
      </c>
      <c r="S93" s="139" t="s">
        <v>38</v>
      </c>
      <c r="T93" s="42">
        <v>0</v>
      </c>
      <c r="U93" s="42">
        <v>29</v>
      </c>
      <c r="V93" s="42">
        <v>25</v>
      </c>
      <c r="W93" s="42">
        <v>17</v>
      </c>
      <c r="X93" s="42">
        <v>15</v>
      </c>
      <c r="Y93" s="42">
        <v>6</v>
      </c>
      <c r="Z93" s="42">
        <v>6</v>
      </c>
      <c r="AA93" s="45">
        <f>SUM(T93:Z93)</f>
        <v>98</v>
      </c>
      <c r="AB93" s="39">
        <v>2024</v>
      </c>
      <c r="AC93" s="113"/>
      <c r="AD93" s="92"/>
    </row>
    <row r="94" spans="1:30" ht="31.5" x14ac:dyDescent="0.25">
      <c r="A94" s="50" t="s">
        <v>18</v>
      </c>
      <c r="B94" s="50" t="s">
        <v>18</v>
      </c>
      <c r="C94" s="50" t="s">
        <v>24</v>
      </c>
      <c r="D94" s="50" t="s">
        <v>18</v>
      </c>
      <c r="E94" s="50" t="s">
        <v>21</v>
      </c>
      <c r="F94" s="50" t="s">
        <v>18</v>
      </c>
      <c r="G94" s="50" t="s">
        <v>22</v>
      </c>
      <c r="H94" s="50" t="s">
        <v>19</v>
      </c>
      <c r="I94" s="50" t="s">
        <v>24</v>
      </c>
      <c r="J94" s="50" t="s">
        <v>18</v>
      </c>
      <c r="K94" s="50" t="s">
        <v>18</v>
      </c>
      <c r="L94" s="50" t="s">
        <v>19</v>
      </c>
      <c r="M94" s="50" t="s">
        <v>43</v>
      </c>
      <c r="N94" s="50" t="s">
        <v>43</v>
      </c>
      <c r="O94" s="50" t="s">
        <v>43</v>
      </c>
      <c r="P94" s="50" t="s">
        <v>43</v>
      </c>
      <c r="Q94" s="50" t="s">
        <v>43</v>
      </c>
      <c r="R94" s="150" t="s">
        <v>104</v>
      </c>
      <c r="S94" s="51" t="s">
        <v>0</v>
      </c>
      <c r="T94" s="1">
        <f>1051.4-28.4-48.1</f>
        <v>974.90000000000009</v>
      </c>
      <c r="U94" s="1">
        <f>1450-14.6</f>
        <v>1435.4</v>
      </c>
      <c r="V94" s="1">
        <f>1450+1054.3-450.6</f>
        <v>2053.7000000000003</v>
      </c>
      <c r="W94" s="1">
        <f>1500+1001+150</f>
        <v>2651</v>
      </c>
      <c r="X94" s="1">
        <f>1500+722-400-410</f>
        <v>1412</v>
      </c>
      <c r="Y94" s="1">
        <v>1500</v>
      </c>
      <c r="Z94" s="1">
        <v>1500</v>
      </c>
      <c r="AA94" s="55">
        <f>SUM(T94:Z94)</f>
        <v>11527</v>
      </c>
      <c r="AB94" s="54">
        <v>2024</v>
      </c>
      <c r="AC94" s="109"/>
      <c r="AD94" s="99"/>
    </row>
    <row r="95" spans="1:30" ht="48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71" t="s">
        <v>237</v>
      </c>
      <c r="S95" s="139" t="s">
        <v>38</v>
      </c>
      <c r="T95" s="42">
        <v>4</v>
      </c>
      <c r="U95" s="42">
        <v>58</v>
      </c>
      <c r="V95" s="42">
        <v>0</v>
      </c>
      <c r="W95" s="42">
        <v>19</v>
      </c>
      <c r="X95" s="42">
        <v>0</v>
      </c>
      <c r="Y95" s="42">
        <v>16</v>
      </c>
      <c r="Z95" s="42">
        <v>16</v>
      </c>
      <c r="AA95" s="45">
        <f>SUM(T95:Z95)</f>
        <v>113</v>
      </c>
      <c r="AB95" s="39">
        <v>2024</v>
      </c>
      <c r="AC95" s="33"/>
    </row>
    <row r="96" spans="1:30" s="8" customFormat="1" ht="33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71" t="s">
        <v>238</v>
      </c>
      <c r="S96" s="139" t="s">
        <v>38</v>
      </c>
      <c r="T96" s="42">
        <v>5</v>
      </c>
      <c r="U96" s="42">
        <v>5</v>
      </c>
      <c r="V96" s="42">
        <v>6</v>
      </c>
      <c r="W96" s="42">
        <v>6</v>
      </c>
      <c r="X96" s="42">
        <v>6</v>
      </c>
      <c r="Y96" s="42">
        <v>6</v>
      </c>
      <c r="Z96" s="42">
        <v>6</v>
      </c>
      <c r="AA96" s="45">
        <v>6</v>
      </c>
      <c r="AB96" s="39">
        <v>2024</v>
      </c>
      <c r="AC96" s="113"/>
      <c r="AD96" s="9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71" t="s">
        <v>294</v>
      </c>
      <c r="S97" s="139" t="s">
        <v>38</v>
      </c>
      <c r="T97" s="42">
        <v>0</v>
      </c>
      <c r="U97" s="42">
        <v>16</v>
      </c>
      <c r="V97" s="42">
        <v>16</v>
      </c>
      <c r="W97" s="42">
        <v>30</v>
      </c>
      <c r="X97" s="42">
        <v>21</v>
      </c>
      <c r="Y97" s="42">
        <v>11</v>
      </c>
      <c r="Z97" s="42">
        <v>11</v>
      </c>
      <c r="AA97" s="45">
        <f>SUM(T97:Z97)</f>
        <v>105</v>
      </c>
      <c r="AB97" s="39">
        <v>2024</v>
      </c>
      <c r="AC97" s="113"/>
      <c r="AD97" s="92"/>
    </row>
    <row r="98" spans="1:31" ht="31.5" x14ac:dyDescent="0.25">
      <c r="A98" s="50" t="s">
        <v>18</v>
      </c>
      <c r="B98" s="50" t="s">
        <v>18</v>
      </c>
      <c r="C98" s="50" t="s">
        <v>21</v>
      </c>
      <c r="D98" s="50" t="s">
        <v>18</v>
      </c>
      <c r="E98" s="50" t="s">
        <v>21</v>
      </c>
      <c r="F98" s="50" t="s">
        <v>18</v>
      </c>
      <c r="G98" s="50" t="s">
        <v>22</v>
      </c>
      <c r="H98" s="50" t="s">
        <v>19</v>
      </c>
      <c r="I98" s="50" t="s">
        <v>24</v>
      </c>
      <c r="J98" s="50" t="s">
        <v>18</v>
      </c>
      <c r="K98" s="50" t="s">
        <v>18</v>
      </c>
      <c r="L98" s="50" t="s">
        <v>19</v>
      </c>
      <c r="M98" s="50" t="s">
        <v>43</v>
      </c>
      <c r="N98" s="50" t="s">
        <v>43</v>
      </c>
      <c r="O98" s="50" t="s">
        <v>43</v>
      </c>
      <c r="P98" s="50" t="s">
        <v>43</v>
      </c>
      <c r="Q98" s="50" t="s">
        <v>43</v>
      </c>
      <c r="R98" s="150" t="s">
        <v>104</v>
      </c>
      <c r="S98" s="51" t="s">
        <v>0</v>
      </c>
      <c r="T98" s="1">
        <f>1351.9-396.7-310.9-34</f>
        <v>610.30000000000007</v>
      </c>
      <c r="U98" s="1">
        <f>1750-198.6-29.9</f>
        <v>1521.5</v>
      </c>
      <c r="V98" s="1">
        <f>1749.6+553-113</f>
        <v>2189.6</v>
      </c>
      <c r="W98" s="1">
        <f>1500+1265.3</f>
        <v>2765.3</v>
      </c>
      <c r="X98" s="1">
        <f>1500-400-120+779.5</f>
        <v>1759.5</v>
      </c>
      <c r="Y98" s="1">
        <v>1500</v>
      </c>
      <c r="Z98" s="1">
        <v>1500</v>
      </c>
      <c r="AA98" s="55">
        <f>SUM(T98:Z98)</f>
        <v>11846.2</v>
      </c>
      <c r="AB98" s="54">
        <v>2024</v>
      </c>
      <c r="AC98" s="109"/>
      <c r="AD98" s="92"/>
    </row>
    <row r="99" spans="1:31" ht="47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71" t="s">
        <v>239</v>
      </c>
      <c r="S99" s="139" t="s">
        <v>38</v>
      </c>
      <c r="T99" s="2">
        <v>21</v>
      </c>
      <c r="U99" s="2">
        <v>95</v>
      </c>
      <c r="V99" s="2">
        <v>220</v>
      </c>
      <c r="W99" s="2">
        <v>90</v>
      </c>
      <c r="X99" s="2">
        <v>19</v>
      </c>
      <c r="Y99" s="2">
        <v>90</v>
      </c>
      <c r="Z99" s="2">
        <v>90</v>
      </c>
      <c r="AA99" s="45">
        <f>SUM(T99:Z99)</f>
        <v>625</v>
      </c>
      <c r="AB99" s="39">
        <v>2024</v>
      </c>
      <c r="AC99" s="113"/>
      <c r="AD99" s="92"/>
    </row>
    <row r="100" spans="1:31" ht="32.2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71" t="s">
        <v>240</v>
      </c>
      <c r="S100" s="139" t="s">
        <v>38</v>
      </c>
      <c r="T100" s="2">
        <v>4</v>
      </c>
      <c r="U100" s="2">
        <v>5</v>
      </c>
      <c r="V100" s="2">
        <v>5</v>
      </c>
      <c r="W100" s="2">
        <v>4</v>
      </c>
      <c r="X100" s="2">
        <v>4</v>
      </c>
      <c r="Y100" s="2">
        <v>4</v>
      </c>
      <c r="Z100" s="2">
        <v>4</v>
      </c>
      <c r="AA100" s="43">
        <v>4</v>
      </c>
      <c r="AB100" s="39">
        <v>2024</v>
      </c>
      <c r="AC100" s="117"/>
      <c r="AD100" s="9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71" t="s">
        <v>295</v>
      </c>
      <c r="S101" s="139" t="s">
        <v>38</v>
      </c>
      <c r="T101" s="42">
        <v>0</v>
      </c>
      <c r="U101" s="42">
        <v>16</v>
      </c>
      <c r="V101" s="42">
        <v>15</v>
      </c>
      <c r="W101" s="42">
        <v>12</v>
      </c>
      <c r="X101" s="42">
        <v>13</v>
      </c>
      <c r="Y101" s="42">
        <v>9</v>
      </c>
      <c r="Z101" s="42">
        <v>9</v>
      </c>
      <c r="AA101" s="45">
        <f>SUM(T101:Z101)</f>
        <v>74</v>
      </c>
      <c r="AB101" s="39">
        <v>2024</v>
      </c>
      <c r="AC101" s="113"/>
      <c r="AD101" s="92"/>
    </row>
    <row r="102" spans="1:31" ht="31.5" x14ac:dyDescent="0.25">
      <c r="A102" s="50" t="s">
        <v>18</v>
      </c>
      <c r="B102" s="50" t="s">
        <v>18</v>
      </c>
      <c r="C102" s="50" t="s">
        <v>25</v>
      </c>
      <c r="D102" s="50" t="s">
        <v>18</v>
      </c>
      <c r="E102" s="50" t="s">
        <v>21</v>
      </c>
      <c r="F102" s="50" t="s">
        <v>18</v>
      </c>
      <c r="G102" s="50" t="s">
        <v>22</v>
      </c>
      <c r="H102" s="50" t="s">
        <v>19</v>
      </c>
      <c r="I102" s="50" t="s">
        <v>24</v>
      </c>
      <c r="J102" s="50" t="s">
        <v>18</v>
      </c>
      <c r="K102" s="50" t="s">
        <v>18</v>
      </c>
      <c r="L102" s="50" t="s">
        <v>19</v>
      </c>
      <c r="M102" s="50" t="s">
        <v>43</v>
      </c>
      <c r="N102" s="50" t="s">
        <v>43</v>
      </c>
      <c r="O102" s="50" t="s">
        <v>43</v>
      </c>
      <c r="P102" s="50" t="s">
        <v>43</v>
      </c>
      <c r="Q102" s="50" t="s">
        <v>43</v>
      </c>
      <c r="R102" s="150" t="s">
        <v>101</v>
      </c>
      <c r="S102" s="51" t="s">
        <v>0</v>
      </c>
      <c r="T102" s="1">
        <f>4141.3-300-1489-672.7-86.2-669.2</f>
        <v>924.2</v>
      </c>
      <c r="U102" s="1">
        <f>2950-369.3-0.6-50-20-366-142.8</f>
        <v>2001.3</v>
      </c>
      <c r="V102" s="1">
        <f>2950+153.2-3.3-641.8</f>
        <v>2458.0999999999995</v>
      </c>
      <c r="W102" s="1">
        <f>1900-22+817.5-91-182</f>
        <v>2422.5</v>
      </c>
      <c r="X102" s="1">
        <f>1682.2-20.6-0.6+461.1-267</f>
        <v>1855.1000000000004</v>
      </c>
      <c r="Y102" s="1">
        <v>1682.2</v>
      </c>
      <c r="Z102" s="1">
        <v>1900</v>
      </c>
      <c r="AA102" s="55">
        <f>SUM(T102:Z102)</f>
        <v>13243.400000000001</v>
      </c>
      <c r="AB102" s="54">
        <v>2024</v>
      </c>
      <c r="AC102" s="110"/>
    </row>
    <row r="103" spans="1:31" ht="46.9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69" t="s">
        <v>241</v>
      </c>
      <c r="S103" s="139" t="s">
        <v>38</v>
      </c>
      <c r="T103" s="42">
        <v>7</v>
      </c>
      <c r="U103" s="42">
        <v>7</v>
      </c>
      <c r="V103" s="42">
        <v>70</v>
      </c>
      <c r="W103" s="42">
        <v>0</v>
      </c>
      <c r="X103" s="42">
        <v>60</v>
      </c>
      <c r="Y103" s="42">
        <v>20</v>
      </c>
      <c r="Z103" s="42">
        <v>20</v>
      </c>
      <c r="AA103" s="45">
        <f>SUM(T103:Z103)</f>
        <v>184</v>
      </c>
      <c r="AB103" s="39">
        <v>2024</v>
      </c>
      <c r="AC103" s="33"/>
    </row>
    <row r="104" spans="1:31" ht="32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9" t="s">
        <v>242</v>
      </c>
      <c r="S104" s="39" t="s">
        <v>38</v>
      </c>
      <c r="T104" s="42">
        <v>3</v>
      </c>
      <c r="U104" s="42">
        <v>2</v>
      </c>
      <c r="V104" s="42">
        <v>4</v>
      </c>
      <c r="W104" s="42">
        <v>4</v>
      </c>
      <c r="X104" s="42">
        <v>3</v>
      </c>
      <c r="Y104" s="42">
        <v>5</v>
      </c>
      <c r="Z104" s="42">
        <v>5</v>
      </c>
      <c r="AA104" s="45">
        <v>3</v>
      </c>
      <c r="AB104" s="39">
        <v>2024</v>
      </c>
      <c r="AC104" s="113"/>
      <c r="AD104" s="92"/>
    </row>
    <row r="105" spans="1:31" ht="63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71" t="s">
        <v>296</v>
      </c>
      <c r="S105" s="139" t="s">
        <v>38</v>
      </c>
      <c r="T105" s="42">
        <v>0</v>
      </c>
      <c r="U105" s="42">
        <v>15</v>
      </c>
      <c r="V105" s="42">
        <v>2</v>
      </c>
      <c r="W105" s="42">
        <v>2</v>
      </c>
      <c r="X105" s="42">
        <v>6</v>
      </c>
      <c r="Y105" s="42">
        <v>8</v>
      </c>
      <c r="Z105" s="42">
        <v>8</v>
      </c>
      <c r="AA105" s="45">
        <f>SUM(T105:Z105)</f>
        <v>41</v>
      </c>
      <c r="AB105" s="39">
        <v>2024</v>
      </c>
      <c r="AC105" s="113"/>
      <c r="AD105" s="92"/>
    </row>
    <row r="106" spans="1:31" ht="31.5" x14ac:dyDescent="0.25">
      <c r="A106" s="50" t="s">
        <v>18</v>
      </c>
      <c r="B106" s="50" t="s">
        <v>19</v>
      </c>
      <c r="C106" s="50" t="s">
        <v>24</v>
      </c>
      <c r="D106" s="50" t="s">
        <v>18</v>
      </c>
      <c r="E106" s="50" t="s">
        <v>21</v>
      </c>
      <c r="F106" s="50" t="s">
        <v>18</v>
      </c>
      <c r="G106" s="50" t="s">
        <v>22</v>
      </c>
      <c r="H106" s="50" t="s">
        <v>19</v>
      </c>
      <c r="I106" s="50" t="s">
        <v>24</v>
      </c>
      <c r="J106" s="50" t="s">
        <v>18</v>
      </c>
      <c r="K106" s="50" t="s">
        <v>18</v>
      </c>
      <c r="L106" s="50" t="s">
        <v>19</v>
      </c>
      <c r="M106" s="50" t="s">
        <v>43</v>
      </c>
      <c r="N106" s="50" t="s">
        <v>43</v>
      </c>
      <c r="O106" s="50" t="s">
        <v>43</v>
      </c>
      <c r="P106" s="50" t="s">
        <v>43</v>
      </c>
      <c r="Q106" s="50" t="s">
        <v>43</v>
      </c>
      <c r="R106" s="150" t="s">
        <v>101</v>
      </c>
      <c r="S106" s="51" t="s">
        <v>0</v>
      </c>
      <c r="T106" s="1">
        <f>236-236+500-125.3</f>
        <v>374.7</v>
      </c>
      <c r="U106" s="1">
        <f>0+229+48-32</f>
        <v>245</v>
      </c>
      <c r="V106" s="1">
        <f>0+150-6.8</f>
        <v>143.19999999999999</v>
      </c>
      <c r="W106" s="1">
        <f>0+30</f>
        <v>30</v>
      </c>
      <c r="X106" s="1">
        <f>30+80</f>
        <v>110</v>
      </c>
      <c r="Y106" s="1">
        <v>0</v>
      </c>
      <c r="Z106" s="1">
        <v>0</v>
      </c>
      <c r="AA106" s="55">
        <f>SUM(T106:Z106)</f>
        <v>902.90000000000009</v>
      </c>
      <c r="AB106" s="54">
        <v>2022</v>
      </c>
      <c r="AC106" s="113"/>
      <c r="AD106" s="92"/>
    </row>
    <row r="107" spans="1:31" ht="48.6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71" t="s">
        <v>299</v>
      </c>
      <c r="S107" s="139" t="s">
        <v>38</v>
      </c>
      <c r="T107" s="42">
        <v>25</v>
      </c>
      <c r="U107" s="2">
        <v>1</v>
      </c>
      <c r="V107" s="2">
        <v>16</v>
      </c>
      <c r="W107" s="2">
        <v>2</v>
      </c>
      <c r="X107" s="2">
        <v>5</v>
      </c>
      <c r="Y107" s="2">
        <v>0</v>
      </c>
      <c r="Z107" s="2">
        <v>0</v>
      </c>
      <c r="AA107" s="43">
        <f>SUM(T107:Z107)</f>
        <v>49</v>
      </c>
      <c r="AB107" s="39">
        <v>2022</v>
      </c>
      <c r="AC107" s="113"/>
      <c r="AD107" s="92"/>
    </row>
    <row r="108" spans="1:31" x14ac:dyDescent="0.25">
      <c r="A108" s="50" t="s">
        <v>18</v>
      </c>
      <c r="B108" s="50" t="s">
        <v>19</v>
      </c>
      <c r="C108" s="50" t="s">
        <v>20</v>
      </c>
      <c r="D108" s="50" t="s">
        <v>18</v>
      </c>
      <c r="E108" s="50" t="s">
        <v>21</v>
      </c>
      <c r="F108" s="50" t="s">
        <v>18</v>
      </c>
      <c r="G108" s="50" t="s">
        <v>22</v>
      </c>
      <c r="H108" s="50" t="s">
        <v>19</v>
      </c>
      <c r="I108" s="50" t="s">
        <v>24</v>
      </c>
      <c r="J108" s="50" t="s">
        <v>18</v>
      </c>
      <c r="K108" s="50" t="s">
        <v>18</v>
      </c>
      <c r="L108" s="50" t="s">
        <v>19</v>
      </c>
      <c r="M108" s="50" t="s">
        <v>18</v>
      </c>
      <c r="N108" s="50" t="s">
        <v>18</v>
      </c>
      <c r="O108" s="50" t="s">
        <v>18</v>
      </c>
      <c r="P108" s="50" t="s">
        <v>18</v>
      </c>
      <c r="Q108" s="50" t="s">
        <v>18</v>
      </c>
      <c r="R108" s="170" t="s">
        <v>105</v>
      </c>
      <c r="S108" s="160" t="s">
        <v>0</v>
      </c>
      <c r="T108" s="55">
        <f>SUM(T109:T110)</f>
        <v>124849.7</v>
      </c>
      <c r="U108" s="55">
        <f t="shared" ref="U108:Z108" si="42">SUM(U109:U110)</f>
        <v>257371.5</v>
      </c>
      <c r="V108" s="55">
        <f t="shared" si="42"/>
        <v>178030.5</v>
      </c>
      <c r="W108" s="55">
        <f t="shared" si="42"/>
        <v>153398.5</v>
      </c>
      <c r="X108" s="55">
        <f>SUM(X109:X110)</f>
        <v>226611.30000000002</v>
      </c>
      <c r="Y108" s="55">
        <f t="shared" si="42"/>
        <v>130528.6</v>
      </c>
      <c r="Z108" s="55">
        <f t="shared" si="42"/>
        <v>167876.4</v>
      </c>
      <c r="AA108" s="55">
        <f>SUM(T108:Z108)</f>
        <v>1238666.5</v>
      </c>
      <c r="AB108" s="54">
        <v>2024</v>
      </c>
      <c r="AC108" s="109"/>
      <c r="AD108" s="92"/>
    </row>
    <row r="109" spans="1:31" x14ac:dyDescent="0.25">
      <c r="A109" s="50" t="s">
        <v>18</v>
      </c>
      <c r="B109" s="50" t="s">
        <v>19</v>
      </c>
      <c r="C109" s="50" t="s">
        <v>20</v>
      </c>
      <c r="D109" s="50" t="s">
        <v>18</v>
      </c>
      <c r="E109" s="50" t="s">
        <v>21</v>
      </c>
      <c r="F109" s="50" t="s">
        <v>18</v>
      </c>
      <c r="G109" s="50" t="s">
        <v>22</v>
      </c>
      <c r="H109" s="50" t="s">
        <v>19</v>
      </c>
      <c r="I109" s="50" t="s">
        <v>24</v>
      </c>
      <c r="J109" s="50" t="s">
        <v>18</v>
      </c>
      <c r="K109" s="50" t="s">
        <v>18</v>
      </c>
      <c r="L109" s="50" t="s">
        <v>19</v>
      </c>
      <c r="M109" s="50" t="s">
        <v>18</v>
      </c>
      <c r="N109" s="50" t="s">
        <v>19</v>
      </c>
      <c r="O109" s="50" t="s">
        <v>18</v>
      </c>
      <c r="P109" s="50" t="s">
        <v>18</v>
      </c>
      <c r="Q109" s="50" t="s">
        <v>18</v>
      </c>
      <c r="R109" s="171"/>
      <c r="S109" s="161"/>
      <c r="T109" s="1">
        <v>0</v>
      </c>
      <c r="U109" s="1">
        <v>0</v>
      </c>
      <c r="V109" s="1">
        <v>0</v>
      </c>
      <c r="W109" s="1">
        <v>0</v>
      </c>
      <c r="X109" s="1">
        <v>4417.1000000000004</v>
      </c>
      <c r="Y109" s="1">
        <v>12525.5</v>
      </c>
      <c r="Z109" s="1">
        <v>12525.5</v>
      </c>
      <c r="AA109" s="55">
        <f t="shared" ref="AA109:AA110" si="43">SUM(T109:Z109)</f>
        <v>29468.1</v>
      </c>
      <c r="AB109" s="54">
        <v>2024</v>
      </c>
      <c r="AC109" s="109"/>
      <c r="AD109" s="92"/>
    </row>
    <row r="110" spans="1:31" x14ac:dyDescent="0.25">
      <c r="A110" s="50" t="s">
        <v>18</v>
      </c>
      <c r="B110" s="50" t="s">
        <v>19</v>
      </c>
      <c r="C110" s="50" t="s">
        <v>20</v>
      </c>
      <c r="D110" s="50" t="s">
        <v>18</v>
      </c>
      <c r="E110" s="50" t="s">
        <v>21</v>
      </c>
      <c r="F110" s="50" t="s">
        <v>18</v>
      </c>
      <c r="G110" s="50" t="s">
        <v>22</v>
      </c>
      <c r="H110" s="50" t="s">
        <v>19</v>
      </c>
      <c r="I110" s="50" t="s">
        <v>24</v>
      </c>
      <c r="J110" s="50" t="s">
        <v>18</v>
      </c>
      <c r="K110" s="50" t="s">
        <v>18</v>
      </c>
      <c r="L110" s="50" t="s">
        <v>19</v>
      </c>
      <c r="M110" s="50" t="s">
        <v>43</v>
      </c>
      <c r="N110" s="50" t="s">
        <v>43</v>
      </c>
      <c r="O110" s="50" t="s">
        <v>43</v>
      </c>
      <c r="P110" s="50" t="s">
        <v>43</v>
      </c>
      <c r="Q110" s="50" t="s">
        <v>43</v>
      </c>
      <c r="R110" s="172"/>
      <c r="S110" s="162"/>
      <c r="T110" s="1">
        <f>99204.4+25748.3-45-48-10</f>
        <v>124849.7</v>
      </c>
      <c r="U110" s="1">
        <f>98382.7+162290.6-3301.8</f>
        <v>257371.5</v>
      </c>
      <c r="V110" s="1">
        <f>180545.5-150-150-2115-100</f>
        <v>178030.5</v>
      </c>
      <c r="W110" s="1">
        <f>154888-50-70-100-600+13707.9-6323.8-4495.6-1358-2200</f>
        <v>153398.5</v>
      </c>
      <c r="X110" s="1">
        <f>181212.6+15591.9+25349.2+40.5</f>
        <v>222194.2</v>
      </c>
      <c r="Y110" s="1">
        <v>118003.1</v>
      </c>
      <c r="Z110" s="1">
        <v>155350.9</v>
      </c>
      <c r="AA110" s="55">
        <f t="shared" si="43"/>
        <v>1209198.3999999999</v>
      </c>
      <c r="AB110" s="54">
        <v>2024</v>
      </c>
      <c r="AC110" s="109"/>
      <c r="AD110" s="92"/>
    </row>
    <row r="111" spans="1:31" ht="31.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71" t="s">
        <v>106</v>
      </c>
      <c r="S111" s="139" t="s">
        <v>50</v>
      </c>
      <c r="T111" s="2">
        <v>21452</v>
      </c>
      <c r="U111" s="2">
        <v>21713</v>
      </c>
      <c r="V111" s="2">
        <v>21820</v>
      </c>
      <c r="W111" s="2">
        <v>22526</v>
      </c>
      <c r="X111" s="2">
        <v>22859</v>
      </c>
      <c r="Y111" s="2">
        <v>22916</v>
      </c>
      <c r="Z111" s="2">
        <v>22916</v>
      </c>
      <c r="AA111" s="45">
        <f>Y111</f>
        <v>22916</v>
      </c>
      <c r="AB111" s="39">
        <v>2024</v>
      </c>
      <c r="AC111" s="113"/>
      <c r="AD111" s="99"/>
      <c r="AE111" s="99"/>
    </row>
    <row r="112" spans="1:31" ht="46.9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71" t="s">
        <v>107</v>
      </c>
      <c r="S112" s="139" t="s">
        <v>9</v>
      </c>
      <c r="T112" s="3">
        <v>95</v>
      </c>
      <c r="U112" s="3">
        <v>95</v>
      </c>
      <c r="V112" s="3">
        <v>95</v>
      </c>
      <c r="W112" s="3">
        <v>95</v>
      </c>
      <c r="X112" s="3">
        <v>95</v>
      </c>
      <c r="Y112" s="3">
        <v>95</v>
      </c>
      <c r="Z112" s="3">
        <v>95</v>
      </c>
      <c r="AA112" s="5">
        <v>95</v>
      </c>
      <c r="AB112" s="39">
        <v>2024</v>
      </c>
      <c r="AC112" s="33"/>
    </row>
    <row r="113" spans="1:32" ht="31.5" x14ac:dyDescent="0.25">
      <c r="A113" s="50"/>
      <c r="B113" s="50"/>
      <c r="C113" s="50"/>
      <c r="D113" s="50" t="s">
        <v>18</v>
      </c>
      <c r="E113" s="50" t="s">
        <v>21</v>
      </c>
      <c r="F113" s="50" t="s">
        <v>18</v>
      </c>
      <c r="G113" s="50" t="s">
        <v>22</v>
      </c>
      <c r="H113" s="50" t="s">
        <v>19</v>
      </c>
      <c r="I113" s="50" t="s">
        <v>24</v>
      </c>
      <c r="J113" s="50" t="s">
        <v>18</v>
      </c>
      <c r="K113" s="50" t="s">
        <v>18</v>
      </c>
      <c r="L113" s="50" t="s">
        <v>19</v>
      </c>
      <c r="M113" s="50" t="s">
        <v>43</v>
      </c>
      <c r="N113" s="50" t="s">
        <v>43</v>
      </c>
      <c r="O113" s="50" t="s">
        <v>43</v>
      </c>
      <c r="P113" s="50" t="s">
        <v>43</v>
      </c>
      <c r="Q113" s="50" t="s">
        <v>43</v>
      </c>
      <c r="R113" s="68" t="s">
        <v>108</v>
      </c>
      <c r="S113" s="54" t="s">
        <v>0</v>
      </c>
      <c r="T113" s="55">
        <f t="shared" ref="T113:Y114" si="44">T115+T117+T119+T121</f>
        <v>1880.0999999999997</v>
      </c>
      <c r="U113" s="55">
        <f t="shared" si="44"/>
        <v>1976</v>
      </c>
      <c r="V113" s="55">
        <f t="shared" si="44"/>
        <v>1715.8</v>
      </c>
      <c r="W113" s="55">
        <f t="shared" si="44"/>
        <v>2672.1</v>
      </c>
      <c r="X113" s="55">
        <f t="shared" si="44"/>
        <v>7326.9</v>
      </c>
      <c r="Y113" s="55">
        <f t="shared" si="44"/>
        <v>2597.6999999999998</v>
      </c>
      <c r="Z113" s="55">
        <f t="shared" ref="Z113" si="45">Z115+Z117+Z119+Z121</f>
        <v>2697.7</v>
      </c>
      <c r="AA113" s="55">
        <f t="shared" ref="AA113:AA122" si="46">SUM(T113:Z113)</f>
        <v>20866.3</v>
      </c>
      <c r="AB113" s="54">
        <v>2024</v>
      </c>
      <c r="AC113" s="110"/>
    </row>
    <row r="114" spans="1:32" ht="31.1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69" t="s">
        <v>109</v>
      </c>
      <c r="S114" s="39" t="s">
        <v>38</v>
      </c>
      <c r="T114" s="42">
        <f t="shared" si="44"/>
        <v>61</v>
      </c>
      <c r="U114" s="42">
        <f t="shared" si="44"/>
        <v>147</v>
      </c>
      <c r="V114" s="42">
        <f t="shared" si="44"/>
        <v>255</v>
      </c>
      <c r="W114" s="42">
        <f t="shared" si="44"/>
        <v>311</v>
      </c>
      <c r="X114" s="42">
        <f t="shared" si="44"/>
        <v>410</v>
      </c>
      <c r="Y114" s="42">
        <f t="shared" si="44"/>
        <v>410</v>
      </c>
      <c r="Z114" s="42">
        <f t="shared" ref="Z114" si="47">Z116+Z118+Z120+Z122</f>
        <v>410</v>
      </c>
      <c r="AA114" s="45">
        <f t="shared" si="46"/>
        <v>2004</v>
      </c>
      <c r="AB114" s="39">
        <v>2024</v>
      </c>
      <c r="AC114" s="113"/>
      <c r="AD114" s="92"/>
    </row>
    <row r="115" spans="1:32" ht="31.5" x14ac:dyDescent="0.25">
      <c r="A115" s="50" t="s">
        <v>18</v>
      </c>
      <c r="B115" s="50" t="s">
        <v>18</v>
      </c>
      <c r="C115" s="50" t="s">
        <v>22</v>
      </c>
      <c r="D115" s="50" t="s">
        <v>18</v>
      </c>
      <c r="E115" s="50" t="s">
        <v>21</v>
      </c>
      <c r="F115" s="50" t="s">
        <v>18</v>
      </c>
      <c r="G115" s="50" t="s">
        <v>22</v>
      </c>
      <c r="H115" s="50" t="s">
        <v>19</v>
      </c>
      <c r="I115" s="50" t="s">
        <v>24</v>
      </c>
      <c r="J115" s="50" t="s">
        <v>18</v>
      </c>
      <c r="K115" s="50" t="s">
        <v>18</v>
      </c>
      <c r="L115" s="50" t="s">
        <v>19</v>
      </c>
      <c r="M115" s="50" t="s">
        <v>43</v>
      </c>
      <c r="N115" s="50" t="s">
        <v>43</v>
      </c>
      <c r="O115" s="50" t="s">
        <v>43</v>
      </c>
      <c r="P115" s="50" t="s">
        <v>43</v>
      </c>
      <c r="Q115" s="50" t="s">
        <v>43</v>
      </c>
      <c r="R115" s="150" t="s">
        <v>110</v>
      </c>
      <c r="S115" s="51" t="s">
        <v>0</v>
      </c>
      <c r="T115" s="1">
        <f>92-9.2+105.5-26.8</f>
        <v>161.5</v>
      </c>
      <c r="U115" s="1">
        <f>1092-122.4</f>
        <v>969.6</v>
      </c>
      <c r="V115" s="1">
        <f>1092-692</f>
        <v>400</v>
      </c>
      <c r="W115" s="1">
        <v>1092</v>
      </c>
      <c r="X115" s="1">
        <f>1092-12.7</f>
        <v>1079.3</v>
      </c>
      <c r="Y115" s="1">
        <v>1092</v>
      </c>
      <c r="Z115" s="1">
        <v>1092</v>
      </c>
      <c r="AA115" s="55">
        <f t="shared" si="46"/>
        <v>5886.4</v>
      </c>
      <c r="AB115" s="54">
        <v>2024</v>
      </c>
      <c r="AC115" s="110"/>
    </row>
    <row r="116" spans="1:32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153" t="s">
        <v>111</v>
      </c>
      <c r="S116" s="139" t="s">
        <v>38</v>
      </c>
      <c r="T116" s="42">
        <f>4+4</f>
        <v>8</v>
      </c>
      <c r="U116" s="42">
        <f>29+21</f>
        <v>50</v>
      </c>
      <c r="V116" s="42">
        <v>23</v>
      </c>
      <c r="W116" s="42">
        <v>54</v>
      </c>
      <c r="X116" s="42">
        <v>157</v>
      </c>
      <c r="Y116" s="42">
        <v>158</v>
      </c>
      <c r="Z116" s="42">
        <v>158</v>
      </c>
      <c r="AA116" s="45">
        <f t="shared" si="46"/>
        <v>608</v>
      </c>
      <c r="AB116" s="39">
        <v>2024</v>
      </c>
      <c r="AC116" s="117"/>
      <c r="AD116" s="99"/>
    </row>
    <row r="117" spans="1:32" ht="31.5" x14ac:dyDescent="0.25">
      <c r="A117" s="50" t="s">
        <v>18</v>
      </c>
      <c r="B117" s="50" t="s">
        <v>18</v>
      </c>
      <c r="C117" s="50" t="s">
        <v>24</v>
      </c>
      <c r="D117" s="50" t="s">
        <v>18</v>
      </c>
      <c r="E117" s="50" t="s">
        <v>21</v>
      </c>
      <c r="F117" s="50" t="s">
        <v>18</v>
      </c>
      <c r="G117" s="50" t="s">
        <v>22</v>
      </c>
      <c r="H117" s="50" t="s">
        <v>19</v>
      </c>
      <c r="I117" s="50" t="s">
        <v>24</v>
      </c>
      <c r="J117" s="50" t="s">
        <v>18</v>
      </c>
      <c r="K117" s="50" t="s">
        <v>18</v>
      </c>
      <c r="L117" s="50" t="s">
        <v>19</v>
      </c>
      <c r="M117" s="50" t="s">
        <v>43</v>
      </c>
      <c r="N117" s="50" t="s">
        <v>43</v>
      </c>
      <c r="O117" s="50" t="s">
        <v>43</v>
      </c>
      <c r="P117" s="50" t="s">
        <v>43</v>
      </c>
      <c r="Q117" s="50" t="s">
        <v>43</v>
      </c>
      <c r="R117" s="150" t="s">
        <v>110</v>
      </c>
      <c r="S117" s="51" t="s">
        <v>0</v>
      </c>
      <c r="T117" s="1">
        <f>1135.8-126-115.2-44.7</f>
        <v>849.89999999999986</v>
      </c>
      <c r="U117" s="1">
        <f>630.5-140-173</f>
        <v>317.5</v>
      </c>
      <c r="V117" s="1">
        <f>630.5-192.2</f>
        <v>438.3</v>
      </c>
      <c r="W117" s="1">
        <f>630.5+9.9</f>
        <v>640.4</v>
      </c>
      <c r="X117" s="1">
        <f>630.5+400</f>
        <v>1030.5</v>
      </c>
      <c r="Y117" s="1">
        <v>630.5</v>
      </c>
      <c r="Z117" s="1">
        <v>630.5</v>
      </c>
      <c r="AA117" s="55">
        <f t="shared" si="46"/>
        <v>4537.6000000000004</v>
      </c>
      <c r="AB117" s="54">
        <v>2024</v>
      </c>
      <c r="AC117" s="112"/>
      <c r="AD117" s="92"/>
    </row>
    <row r="118" spans="1:32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71" t="s">
        <v>112</v>
      </c>
      <c r="S118" s="139" t="s">
        <v>38</v>
      </c>
      <c r="T118" s="42">
        <v>26</v>
      </c>
      <c r="U118" s="42">
        <v>62</v>
      </c>
      <c r="V118" s="42">
        <v>56</v>
      </c>
      <c r="W118" s="42">
        <v>76</v>
      </c>
      <c r="X118" s="42">
        <v>35</v>
      </c>
      <c r="Y118" s="42">
        <v>35</v>
      </c>
      <c r="Z118" s="42">
        <v>35</v>
      </c>
      <c r="AA118" s="45">
        <f t="shared" si="46"/>
        <v>325</v>
      </c>
      <c r="AB118" s="39">
        <v>2024</v>
      </c>
      <c r="AC118" s="113"/>
      <c r="AD118" s="92"/>
    </row>
    <row r="119" spans="1:32" ht="31.5" x14ac:dyDescent="0.25">
      <c r="A119" s="50" t="s">
        <v>18</v>
      </c>
      <c r="B119" s="50" t="s">
        <v>18</v>
      </c>
      <c r="C119" s="50" t="s">
        <v>21</v>
      </c>
      <c r="D119" s="50" t="s">
        <v>18</v>
      </c>
      <c r="E119" s="50" t="s">
        <v>21</v>
      </c>
      <c r="F119" s="50" t="s">
        <v>18</v>
      </c>
      <c r="G119" s="50" t="s">
        <v>22</v>
      </c>
      <c r="H119" s="50" t="s">
        <v>19</v>
      </c>
      <c r="I119" s="50" t="s">
        <v>24</v>
      </c>
      <c r="J119" s="50" t="s">
        <v>18</v>
      </c>
      <c r="K119" s="50" t="s">
        <v>18</v>
      </c>
      <c r="L119" s="50" t="s">
        <v>19</v>
      </c>
      <c r="M119" s="50" t="s">
        <v>43</v>
      </c>
      <c r="N119" s="50" t="s">
        <v>43</v>
      </c>
      <c r="O119" s="50" t="s">
        <v>43</v>
      </c>
      <c r="P119" s="50" t="s">
        <v>43</v>
      </c>
      <c r="Q119" s="50" t="s">
        <v>43</v>
      </c>
      <c r="R119" s="150" t="s">
        <v>110</v>
      </c>
      <c r="S119" s="51" t="s">
        <v>0</v>
      </c>
      <c r="T119" s="1">
        <f>429.2+396.7-107.5</f>
        <v>718.4</v>
      </c>
      <c r="U119" s="1">
        <f>475.2-36.3</f>
        <v>438.9</v>
      </c>
      <c r="V119" s="1">
        <v>475.7</v>
      </c>
      <c r="W119" s="1">
        <f>475.2-25.2</f>
        <v>450</v>
      </c>
      <c r="X119" s="1">
        <f>475.2+4361-19.1</f>
        <v>4817.0999999999995</v>
      </c>
      <c r="Y119" s="1">
        <v>475.2</v>
      </c>
      <c r="Z119" s="1">
        <v>475.2</v>
      </c>
      <c r="AA119" s="55">
        <f t="shared" si="46"/>
        <v>7850.4999999999991</v>
      </c>
      <c r="AB119" s="54">
        <v>2024</v>
      </c>
      <c r="AC119" s="110"/>
    </row>
    <row r="120" spans="1:32" ht="47.25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69" t="s">
        <v>113</v>
      </c>
      <c r="S120" s="39" t="s">
        <v>38</v>
      </c>
      <c r="T120" s="42">
        <v>17</v>
      </c>
      <c r="U120" s="42">
        <v>17</v>
      </c>
      <c r="V120" s="42">
        <v>122</v>
      </c>
      <c r="W120" s="42">
        <v>132</v>
      </c>
      <c r="X120" s="42">
        <f>132+3</f>
        <v>135</v>
      </c>
      <c r="Y120" s="42">
        <v>134</v>
      </c>
      <c r="Z120" s="42">
        <v>134</v>
      </c>
      <c r="AA120" s="45">
        <f t="shared" si="46"/>
        <v>691</v>
      </c>
      <c r="AB120" s="39">
        <v>2024</v>
      </c>
      <c r="AC120" s="113"/>
      <c r="AD120" s="92"/>
    </row>
    <row r="121" spans="1:32" ht="31.5" x14ac:dyDescent="0.25">
      <c r="A121" s="50" t="s">
        <v>18</v>
      </c>
      <c r="B121" s="50" t="s">
        <v>18</v>
      </c>
      <c r="C121" s="50" t="s">
        <v>25</v>
      </c>
      <c r="D121" s="50" t="s">
        <v>18</v>
      </c>
      <c r="E121" s="50" t="s">
        <v>21</v>
      </c>
      <c r="F121" s="50" t="s">
        <v>18</v>
      </c>
      <c r="G121" s="50" t="s">
        <v>22</v>
      </c>
      <c r="H121" s="50" t="s">
        <v>19</v>
      </c>
      <c r="I121" s="50" t="s">
        <v>24</v>
      </c>
      <c r="J121" s="50" t="s">
        <v>18</v>
      </c>
      <c r="K121" s="50" t="s">
        <v>18</v>
      </c>
      <c r="L121" s="50" t="s">
        <v>19</v>
      </c>
      <c r="M121" s="50" t="s">
        <v>43</v>
      </c>
      <c r="N121" s="50" t="s">
        <v>43</v>
      </c>
      <c r="O121" s="50" t="s">
        <v>43</v>
      </c>
      <c r="P121" s="50" t="s">
        <v>43</v>
      </c>
      <c r="Q121" s="50" t="s">
        <v>43</v>
      </c>
      <c r="R121" s="150" t="s">
        <v>114</v>
      </c>
      <c r="S121" s="51" t="s">
        <v>0</v>
      </c>
      <c r="T121" s="1">
        <f>153.3-3</f>
        <v>150.30000000000001</v>
      </c>
      <c r="U121" s="1">
        <f>200+50</f>
        <v>250</v>
      </c>
      <c r="V121" s="1">
        <f>500-101.5+3.3</f>
        <v>401.8</v>
      </c>
      <c r="W121" s="1">
        <f>500-10.3</f>
        <v>489.7</v>
      </c>
      <c r="X121" s="1">
        <v>400</v>
      </c>
      <c r="Y121" s="1">
        <v>400</v>
      </c>
      <c r="Z121" s="1">
        <v>500</v>
      </c>
      <c r="AA121" s="55">
        <f t="shared" si="46"/>
        <v>2591.8000000000002</v>
      </c>
      <c r="AB121" s="54">
        <v>2024</v>
      </c>
      <c r="AC121" s="33"/>
    </row>
    <row r="122" spans="1:32" ht="47.25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69" t="s">
        <v>115</v>
      </c>
      <c r="S122" s="39" t="s">
        <v>38</v>
      </c>
      <c r="T122" s="42">
        <v>10</v>
      </c>
      <c r="U122" s="42">
        <v>18</v>
      </c>
      <c r="V122" s="42">
        <v>54</v>
      </c>
      <c r="W122" s="42">
        <v>49</v>
      </c>
      <c r="X122" s="42">
        <v>83</v>
      </c>
      <c r="Y122" s="42">
        <v>83</v>
      </c>
      <c r="Z122" s="42">
        <v>83</v>
      </c>
      <c r="AA122" s="45">
        <f t="shared" si="46"/>
        <v>380</v>
      </c>
      <c r="AB122" s="39">
        <v>2024</v>
      </c>
      <c r="AC122" s="33"/>
    </row>
    <row r="123" spans="1:32" ht="31.5" x14ac:dyDescent="0.25">
      <c r="A123" s="50" t="s">
        <v>18</v>
      </c>
      <c r="B123" s="50" t="s">
        <v>19</v>
      </c>
      <c r="C123" s="50" t="s">
        <v>20</v>
      </c>
      <c r="D123" s="50" t="s">
        <v>18</v>
      </c>
      <c r="E123" s="50" t="s">
        <v>21</v>
      </c>
      <c r="F123" s="50" t="s">
        <v>18</v>
      </c>
      <c r="G123" s="50" t="s">
        <v>22</v>
      </c>
      <c r="H123" s="50" t="s">
        <v>19</v>
      </c>
      <c r="I123" s="50" t="s">
        <v>24</v>
      </c>
      <c r="J123" s="50" t="s">
        <v>18</v>
      </c>
      <c r="K123" s="50" t="s">
        <v>18</v>
      </c>
      <c r="L123" s="50" t="s">
        <v>19</v>
      </c>
      <c r="M123" s="50" t="s">
        <v>43</v>
      </c>
      <c r="N123" s="50" t="s">
        <v>43</v>
      </c>
      <c r="O123" s="50" t="s">
        <v>43</v>
      </c>
      <c r="P123" s="50" t="s">
        <v>43</v>
      </c>
      <c r="Q123" s="50" t="s">
        <v>43</v>
      </c>
      <c r="R123" s="149" t="s">
        <v>116</v>
      </c>
      <c r="S123" s="84" t="s">
        <v>0</v>
      </c>
      <c r="T123" s="55">
        <f>2300+20572-19997.4-439+45+48+203.1-4</f>
        <v>2727.6999999999985</v>
      </c>
      <c r="U123" s="55">
        <f>7300+715</f>
        <v>8015</v>
      </c>
      <c r="V123" s="55">
        <f>3500+2115-846.5</f>
        <v>4768.5</v>
      </c>
      <c r="W123" s="55">
        <f>5200-9.4-104</f>
        <v>5086.6000000000004</v>
      </c>
      <c r="X123" s="55">
        <f>4333.5+524.5+18.8</f>
        <v>4876.8</v>
      </c>
      <c r="Y123" s="55">
        <v>5200</v>
      </c>
      <c r="Z123" s="55">
        <v>5200</v>
      </c>
      <c r="AA123" s="55">
        <f>SUM(T123:Z123)</f>
        <v>35874.6</v>
      </c>
      <c r="AB123" s="54">
        <v>2024</v>
      </c>
      <c r="AC123" s="113"/>
      <c r="AD123" s="99"/>
      <c r="AE123" s="99"/>
      <c r="AF123" s="99"/>
    </row>
    <row r="124" spans="1:32" s="64" customFormat="1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9" t="s">
        <v>117</v>
      </c>
      <c r="S124" s="39" t="s">
        <v>50</v>
      </c>
      <c r="T124" s="2">
        <v>8</v>
      </c>
      <c r="U124" s="2">
        <v>10</v>
      </c>
      <c r="V124" s="2">
        <v>10</v>
      </c>
      <c r="W124" s="2">
        <v>10</v>
      </c>
      <c r="X124" s="2">
        <v>10</v>
      </c>
      <c r="Y124" s="2">
        <v>10</v>
      </c>
      <c r="Z124" s="2">
        <v>10</v>
      </c>
      <c r="AA124" s="43">
        <v>10</v>
      </c>
      <c r="AB124" s="39">
        <v>2024</v>
      </c>
      <c r="AC124" s="33"/>
      <c r="AD124" s="92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71" t="s">
        <v>118</v>
      </c>
      <c r="S125" s="139" t="s">
        <v>50</v>
      </c>
      <c r="T125" s="2">
        <v>0</v>
      </c>
      <c r="U125" s="2">
        <v>649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43">
        <f>SUM(T125:Z125)</f>
        <v>649</v>
      </c>
      <c r="AB125" s="139">
        <v>2019</v>
      </c>
      <c r="AC125" s="33"/>
      <c r="AD125" s="92"/>
    </row>
    <row r="126" spans="1:32" s="64" customFormat="1" ht="31.5" x14ac:dyDescent="0.25">
      <c r="A126" s="50"/>
      <c r="B126" s="50"/>
      <c r="C126" s="50"/>
      <c r="D126" s="50" t="s">
        <v>18</v>
      </c>
      <c r="E126" s="50" t="s">
        <v>21</v>
      </c>
      <c r="F126" s="50" t="s">
        <v>18</v>
      </c>
      <c r="G126" s="50" t="s">
        <v>22</v>
      </c>
      <c r="H126" s="50" t="s">
        <v>19</v>
      </c>
      <c r="I126" s="50" t="s">
        <v>24</v>
      </c>
      <c r="J126" s="50" t="s">
        <v>18</v>
      </c>
      <c r="K126" s="50" t="s">
        <v>18</v>
      </c>
      <c r="L126" s="50" t="s">
        <v>19</v>
      </c>
      <c r="M126" s="50" t="s">
        <v>43</v>
      </c>
      <c r="N126" s="50" t="s">
        <v>43</v>
      </c>
      <c r="O126" s="50" t="s">
        <v>43</v>
      </c>
      <c r="P126" s="50" t="s">
        <v>43</v>
      </c>
      <c r="Q126" s="50" t="s">
        <v>43</v>
      </c>
      <c r="R126" s="150" t="s">
        <v>119</v>
      </c>
      <c r="S126" s="54" t="s">
        <v>0</v>
      </c>
      <c r="T126" s="55">
        <f>102300-550-5000-1550.7+43.1+12-12</f>
        <v>95242.400000000009</v>
      </c>
      <c r="U126" s="55">
        <f>83000-4000+50</f>
        <v>79050</v>
      </c>
      <c r="V126" s="55">
        <f>89143.1+50</f>
        <v>89193.1</v>
      </c>
      <c r="W126" s="55">
        <f>W135+W129+W131</f>
        <v>90193.1</v>
      </c>
      <c r="X126" s="55">
        <f>X135+X129+X131</f>
        <v>95814.3</v>
      </c>
      <c r="Y126" s="55">
        <f>Y135+Y129+Y131</f>
        <v>104388</v>
      </c>
      <c r="Z126" s="55">
        <f>Z135+Z129+Z131</f>
        <v>104388</v>
      </c>
      <c r="AA126" s="55">
        <f>SUM(T126:Z126)</f>
        <v>658268.89999999991</v>
      </c>
      <c r="AB126" s="54">
        <v>2024</v>
      </c>
      <c r="AC126" s="33"/>
    </row>
    <row r="127" spans="1:32" s="64" customFormat="1" ht="31.5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52" t="s">
        <v>346</v>
      </c>
      <c r="S127" s="39" t="s">
        <v>52</v>
      </c>
      <c r="T127" s="4">
        <v>3.7</v>
      </c>
      <c r="U127" s="4">
        <v>3.8</v>
      </c>
      <c r="V127" s="4">
        <v>3.7</v>
      </c>
      <c r="W127" s="4">
        <f>W136+W132</f>
        <v>3.7</v>
      </c>
      <c r="X127" s="4">
        <f>X136+X132</f>
        <v>3.7</v>
      </c>
      <c r="Y127" s="4">
        <f>Y136+Y132</f>
        <v>3.7</v>
      </c>
      <c r="Z127" s="4">
        <f>Z136+Z132</f>
        <v>3.9000000000000004</v>
      </c>
      <c r="AA127" s="6">
        <v>3.9</v>
      </c>
      <c r="AB127" s="39">
        <v>2024</v>
      </c>
      <c r="AC127" s="33"/>
    </row>
    <row r="128" spans="1:32" s="47" customFormat="1" ht="31.1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69" t="s">
        <v>354</v>
      </c>
      <c r="S128" s="39" t="s">
        <v>52</v>
      </c>
      <c r="T128" s="3">
        <v>2557</v>
      </c>
      <c r="U128" s="3">
        <v>2220.9</v>
      </c>
      <c r="V128" s="3">
        <v>2165.9</v>
      </c>
      <c r="W128" s="3">
        <f>W141+W130+W134</f>
        <v>2189.1</v>
      </c>
      <c r="X128" s="3">
        <f>X141+X130+X134</f>
        <v>2192.6999999999998</v>
      </c>
      <c r="Y128" s="3">
        <f>Y141+Y130+Y134</f>
        <v>2192.9999999999995</v>
      </c>
      <c r="Z128" s="3">
        <f>Z141+Z130+Z134</f>
        <v>2192.9999999999995</v>
      </c>
      <c r="AA128" s="6">
        <f>Z128</f>
        <v>2192.9999999999995</v>
      </c>
      <c r="AB128" s="39">
        <v>2024</v>
      </c>
      <c r="AC128" s="33"/>
    </row>
    <row r="129" spans="1:32" s="64" customFormat="1" ht="31.5" x14ac:dyDescent="0.25">
      <c r="A129" s="50" t="s">
        <v>18</v>
      </c>
      <c r="B129" s="50" t="s">
        <v>18</v>
      </c>
      <c r="C129" s="50" t="s">
        <v>24</v>
      </c>
      <c r="D129" s="50" t="s">
        <v>18</v>
      </c>
      <c r="E129" s="50" t="s">
        <v>21</v>
      </c>
      <c r="F129" s="50" t="s">
        <v>18</v>
      </c>
      <c r="G129" s="50" t="s">
        <v>22</v>
      </c>
      <c r="H129" s="50" t="s">
        <v>19</v>
      </c>
      <c r="I129" s="50" t="s">
        <v>24</v>
      </c>
      <c r="J129" s="50" t="s">
        <v>18</v>
      </c>
      <c r="K129" s="50" t="s">
        <v>18</v>
      </c>
      <c r="L129" s="50" t="s">
        <v>19</v>
      </c>
      <c r="M129" s="50" t="s">
        <v>43</v>
      </c>
      <c r="N129" s="50" t="s">
        <v>43</v>
      </c>
      <c r="O129" s="50" t="s">
        <v>43</v>
      </c>
      <c r="P129" s="50" t="s">
        <v>43</v>
      </c>
      <c r="Q129" s="50" t="s">
        <v>43</v>
      </c>
      <c r="R129" s="150" t="s">
        <v>119</v>
      </c>
      <c r="S129" s="51" t="s">
        <v>0</v>
      </c>
      <c r="T129" s="1">
        <v>0</v>
      </c>
      <c r="U129" s="1">
        <v>0</v>
      </c>
      <c r="V129" s="1">
        <v>0</v>
      </c>
      <c r="W129" s="1">
        <v>0</v>
      </c>
      <c r="X129" s="1">
        <f>2266.5-1370.3-18.8</f>
        <v>877.40000000000009</v>
      </c>
      <c r="Y129" s="1">
        <v>2266.5</v>
      </c>
      <c r="Z129" s="1">
        <v>2266.5</v>
      </c>
      <c r="AA129" s="55">
        <f>SUM(T129:Z129)</f>
        <v>5410.4</v>
      </c>
      <c r="AB129" s="54">
        <v>2024</v>
      </c>
      <c r="AC129" s="33"/>
    </row>
    <row r="130" spans="1:32" s="47" customFormat="1" ht="47.2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69" t="s">
        <v>347</v>
      </c>
      <c r="S130" s="39" t="s">
        <v>52</v>
      </c>
      <c r="T130" s="3">
        <v>0</v>
      </c>
      <c r="U130" s="3">
        <v>0</v>
      </c>
      <c r="V130" s="3">
        <v>0</v>
      </c>
      <c r="W130" s="3">
        <v>0</v>
      </c>
      <c r="X130" s="3">
        <v>13.3</v>
      </c>
      <c r="Y130" s="3">
        <v>13.6</v>
      </c>
      <c r="Z130" s="3">
        <v>13.6</v>
      </c>
      <c r="AA130" s="6">
        <f>SUM(T130:Z130)</f>
        <v>40.5</v>
      </c>
      <c r="AB130" s="39">
        <v>2024</v>
      </c>
      <c r="AC130" s="33"/>
    </row>
    <row r="131" spans="1:32" s="64" customFormat="1" ht="31.5" x14ac:dyDescent="0.25">
      <c r="A131" s="50" t="s">
        <v>18</v>
      </c>
      <c r="B131" s="50" t="s">
        <v>18</v>
      </c>
      <c r="C131" s="50" t="s">
        <v>21</v>
      </c>
      <c r="D131" s="50" t="s">
        <v>18</v>
      </c>
      <c r="E131" s="50" t="s">
        <v>21</v>
      </c>
      <c r="F131" s="50" t="s">
        <v>18</v>
      </c>
      <c r="G131" s="50" t="s">
        <v>22</v>
      </c>
      <c r="H131" s="50" t="s">
        <v>19</v>
      </c>
      <c r="I131" s="50" t="s">
        <v>24</v>
      </c>
      <c r="J131" s="50" t="s">
        <v>18</v>
      </c>
      <c r="K131" s="50" t="s">
        <v>18</v>
      </c>
      <c r="L131" s="50" t="s">
        <v>19</v>
      </c>
      <c r="M131" s="50" t="s">
        <v>43</v>
      </c>
      <c r="N131" s="50" t="s">
        <v>43</v>
      </c>
      <c r="O131" s="50" t="s">
        <v>43</v>
      </c>
      <c r="P131" s="50" t="s">
        <v>43</v>
      </c>
      <c r="Q131" s="50" t="s">
        <v>43</v>
      </c>
      <c r="R131" s="150" t="s">
        <v>119</v>
      </c>
      <c r="S131" s="51" t="s">
        <v>0</v>
      </c>
      <c r="T131" s="1">
        <v>0</v>
      </c>
      <c r="U131" s="1">
        <v>0</v>
      </c>
      <c r="V131" s="1">
        <v>0</v>
      </c>
      <c r="W131" s="1">
        <v>0</v>
      </c>
      <c r="X131" s="1">
        <f>2978.4-622.1-622</f>
        <v>1734.3000000000002</v>
      </c>
      <c r="Y131" s="1">
        <v>2978.4</v>
      </c>
      <c r="Z131" s="1">
        <v>2978.4</v>
      </c>
      <c r="AA131" s="55">
        <f>SUM(T131:Z131)</f>
        <v>7691.1</v>
      </c>
      <c r="AB131" s="54">
        <v>2024</v>
      </c>
      <c r="AC131" s="33"/>
    </row>
    <row r="132" spans="1:32" s="64" customFormat="1" ht="47.25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52" t="s">
        <v>348</v>
      </c>
      <c r="S132" s="39" t="s">
        <v>52</v>
      </c>
      <c r="T132" s="3">
        <v>0</v>
      </c>
      <c r="U132" s="3">
        <v>0</v>
      </c>
      <c r="V132" s="3">
        <v>0</v>
      </c>
      <c r="W132" s="3">
        <v>0</v>
      </c>
      <c r="X132" s="4">
        <v>0</v>
      </c>
      <c r="Y132" s="4">
        <v>0</v>
      </c>
      <c r="Z132" s="4">
        <v>0.2</v>
      </c>
      <c r="AA132" s="6">
        <f>Z132</f>
        <v>0.2</v>
      </c>
      <c r="AB132" s="39">
        <v>2024</v>
      </c>
      <c r="AC132" s="33"/>
    </row>
    <row r="133" spans="1:32" s="47" customFormat="1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71" t="s">
        <v>349</v>
      </c>
      <c r="S133" s="139" t="s">
        <v>34</v>
      </c>
      <c r="T133" s="3">
        <v>0</v>
      </c>
      <c r="U133" s="3">
        <v>0</v>
      </c>
      <c r="V133" s="3">
        <v>0</v>
      </c>
      <c r="W133" s="3">
        <v>0</v>
      </c>
      <c r="X133" s="3">
        <v>24.7</v>
      </c>
      <c r="Y133" s="3">
        <v>50</v>
      </c>
      <c r="Z133" s="3">
        <v>50</v>
      </c>
      <c r="AA133" s="6">
        <f t="shared" ref="AA133:AA134" si="48">X133</f>
        <v>24.7</v>
      </c>
      <c r="AB133" s="39">
        <v>2024</v>
      </c>
      <c r="AC133" s="113"/>
      <c r="AD133" s="92"/>
    </row>
    <row r="134" spans="1:32" s="47" customFormat="1" ht="47.2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69" t="s">
        <v>350</v>
      </c>
      <c r="S134" s="39" t="s">
        <v>52</v>
      </c>
      <c r="T134" s="3">
        <v>0</v>
      </c>
      <c r="U134" s="3">
        <v>0</v>
      </c>
      <c r="V134" s="3">
        <v>0</v>
      </c>
      <c r="W134" s="3">
        <v>0</v>
      </c>
      <c r="X134" s="3">
        <v>11.2</v>
      </c>
      <c r="Y134" s="3">
        <v>11.2</v>
      </c>
      <c r="Z134" s="3">
        <v>11.2</v>
      </c>
      <c r="AA134" s="6">
        <f t="shared" si="48"/>
        <v>11.2</v>
      </c>
      <c r="AB134" s="39">
        <v>2024</v>
      </c>
      <c r="AC134" s="33"/>
    </row>
    <row r="135" spans="1:32" s="64" customFormat="1" ht="31.5" x14ac:dyDescent="0.25">
      <c r="A135" s="50" t="s">
        <v>18</v>
      </c>
      <c r="B135" s="50" t="s">
        <v>19</v>
      </c>
      <c r="C135" s="50" t="s">
        <v>20</v>
      </c>
      <c r="D135" s="50" t="s">
        <v>18</v>
      </c>
      <c r="E135" s="50" t="s">
        <v>21</v>
      </c>
      <c r="F135" s="50" t="s">
        <v>18</v>
      </c>
      <c r="G135" s="50" t="s">
        <v>22</v>
      </c>
      <c r="H135" s="50" t="s">
        <v>19</v>
      </c>
      <c r="I135" s="50" t="s">
        <v>24</v>
      </c>
      <c r="J135" s="50" t="s">
        <v>18</v>
      </c>
      <c r="K135" s="50" t="s">
        <v>18</v>
      </c>
      <c r="L135" s="50" t="s">
        <v>19</v>
      </c>
      <c r="M135" s="50" t="s">
        <v>43</v>
      </c>
      <c r="N135" s="50" t="s">
        <v>43</v>
      </c>
      <c r="O135" s="50" t="s">
        <v>43</v>
      </c>
      <c r="P135" s="50" t="s">
        <v>43</v>
      </c>
      <c r="Q135" s="50" t="s">
        <v>43</v>
      </c>
      <c r="R135" s="150" t="s">
        <v>119</v>
      </c>
      <c r="S135" s="51" t="s">
        <v>0</v>
      </c>
      <c r="T135" s="1">
        <f>102300-550-5000-1550.7+43.1+12-12</f>
        <v>95242.400000000009</v>
      </c>
      <c r="U135" s="1">
        <f>83000-4000+50</f>
        <v>79050</v>
      </c>
      <c r="V135" s="1">
        <f>89143.1+50</f>
        <v>89193.1</v>
      </c>
      <c r="W135" s="1">
        <f>89143.1+50+1000</f>
        <v>90193.1</v>
      </c>
      <c r="X135" s="1">
        <v>93202.6</v>
      </c>
      <c r="Y135" s="1">
        <v>99143.1</v>
      </c>
      <c r="Z135" s="1">
        <v>99143.1</v>
      </c>
      <c r="AA135" s="55">
        <f>SUM(T135:Z135)</f>
        <v>645167.39999999991</v>
      </c>
      <c r="AB135" s="54">
        <v>2024</v>
      </c>
      <c r="AC135" s="33"/>
    </row>
    <row r="136" spans="1:32" s="64" customFormat="1" ht="47.25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152" t="s">
        <v>357</v>
      </c>
      <c r="S136" s="39" t="s">
        <v>52</v>
      </c>
      <c r="T136" s="4">
        <v>3.7</v>
      </c>
      <c r="U136" s="4">
        <v>3.8</v>
      </c>
      <c r="V136" s="4">
        <v>3.7</v>
      </c>
      <c r="W136" s="4">
        <v>3.7</v>
      </c>
      <c r="X136" s="4">
        <v>3.7</v>
      </c>
      <c r="Y136" s="4">
        <v>3.7</v>
      </c>
      <c r="Z136" s="4">
        <v>3.7</v>
      </c>
      <c r="AA136" s="6">
        <v>3.7</v>
      </c>
      <c r="AB136" s="39">
        <v>2024</v>
      </c>
      <c r="AC136" s="33"/>
    </row>
    <row r="137" spans="1:32" ht="47.25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69" t="s">
        <v>355</v>
      </c>
      <c r="S137" s="39" t="s">
        <v>50</v>
      </c>
      <c r="T137" s="42">
        <v>87</v>
      </c>
      <c r="U137" s="42">
        <v>74</v>
      </c>
      <c r="V137" s="42">
        <v>74</v>
      </c>
      <c r="W137" s="42">
        <v>70</v>
      </c>
      <c r="X137" s="42">
        <v>70</v>
      </c>
      <c r="Y137" s="42">
        <v>70</v>
      </c>
      <c r="Z137" s="42">
        <v>70</v>
      </c>
      <c r="AA137" s="45">
        <v>74</v>
      </c>
      <c r="AB137" s="39">
        <v>2024</v>
      </c>
      <c r="AC137" s="113"/>
      <c r="AD137" s="92"/>
    </row>
    <row r="138" spans="1:32" ht="47.4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71" t="s">
        <v>351</v>
      </c>
      <c r="S138" s="139" t="s">
        <v>50</v>
      </c>
      <c r="T138" s="2">
        <v>2400</v>
      </c>
      <c r="U138" s="42">
        <v>2400</v>
      </c>
      <c r="V138" s="42">
        <v>4059</v>
      </c>
      <c r="W138" s="42">
        <v>3100</v>
      </c>
      <c r="X138" s="42">
        <v>3513</v>
      </c>
      <c r="Y138" s="42">
        <v>3100</v>
      </c>
      <c r="Z138" s="42">
        <v>3100</v>
      </c>
      <c r="AA138" s="45">
        <f>SUM(T138:Z138)</f>
        <v>21672</v>
      </c>
      <c r="AB138" s="39">
        <v>2024</v>
      </c>
      <c r="AC138" s="113"/>
      <c r="AD138" s="92"/>
    </row>
    <row r="139" spans="1:32" ht="47.2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71" t="s">
        <v>352</v>
      </c>
      <c r="S139" s="139" t="s">
        <v>32</v>
      </c>
      <c r="T139" s="4">
        <v>12100</v>
      </c>
      <c r="U139" s="3">
        <v>11300</v>
      </c>
      <c r="V139" s="3">
        <v>16000</v>
      </c>
      <c r="W139" s="3">
        <v>13499</v>
      </c>
      <c r="X139" s="3">
        <v>13000</v>
      </c>
      <c r="Y139" s="3">
        <v>13000</v>
      </c>
      <c r="Z139" s="3">
        <v>13000</v>
      </c>
      <c r="AA139" s="45">
        <f t="shared" ref="AA139:AA140" si="49">SUM(T139:Z139)</f>
        <v>91899</v>
      </c>
      <c r="AB139" s="39">
        <v>2024</v>
      </c>
      <c r="AC139" s="113"/>
      <c r="AD139" s="92"/>
    </row>
    <row r="140" spans="1:32" s="47" customFormat="1" ht="47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71" t="s">
        <v>356</v>
      </c>
      <c r="S140" s="139" t="s">
        <v>34</v>
      </c>
      <c r="T140" s="4">
        <v>8969</v>
      </c>
      <c r="U140" s="3">
        <v>9945</v>
      </c>
      <c r="V140" s="3">
        <v>10275</v>
      </c>
      <c r="W140" s="3">
        <v>10690</v>
      </c>
      <c r="X140" s="3">
        <v>10883</v>
      </c>
      <c r="Y140" s="3">
        <v>12053</v>
      </c>
      <c r="Z140" s="3">
        <v>12053</v>
      </c>
      <c r="AA140" s="45">
        <f t="shared" si="49"/>
        <v>74868</v>
      </c>
      <c r="AB140" s="39">
        <v>2024</v>
      </c>
      <c r="AC140" s="113"/>
      <c r="AD140" s="92"/>
    </row>
    <row r="141" spans="1:32" s="47" customFormat="1" ht="47.25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69" t="s">
        <v>358</v>
      </c>
      <c r="S141" s="39" t="s">
        <v>52</v>
      </c>
      <c r="T141" s="3">
        <v>2557</v>
      </c>
      <c r="U141" s="3">
        <v>2220.9</v>
      </c>
      <c r="V141" s="3">
        <v>2165.9</v>
      </c>
      <c r="W141" s="3">
        <v>2189.1</v>
      </c>
      <c r="X141" s="3">
        <v>2168.1999999999998</v>
      </c>
      <c r="Y141" s="3">
        <v>2168.1999999999998</v>
      </c>
      <c r="Z141" s="3">
        <v>2168.1999999999998</v>
      </c>
      <c r="AA141" s="6">
        <f>Z141</f>
        <v>2168.1999999999998</v>
      </c>
      <c r="AB141" s="39">
        <v>2024</v>
      </c>
      <c r="AC141" s="33"/>
    </row>
    <row r="142" spans="1:32" ht="46.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152" t="s">
        <v>353</v>
      </c>
      <c r="S142" s="39" t="s">
        <v>36</v>
      </c>
      <c r="T142" s="42">
        <v>247</v>
      </c>
      <c r="U142" s="42">
        <v>247</v>
      </c>
      <c r="V142" s="42">
        <v>249</v>
      </c>
      <c r="W142" s="42">
        <v>247</v>
      </c>
      <c r="X142" s="42">
        <v>247</v>
      </c>
      <c r="Y142" s="42">
        <v>247</v>
      </c>
      <c r="Z142" s="42">
        <v>247</v>
      </c>
      <c r="AA142" s="45">
        <f>SUM(T142:Z142)</f>
        <v>1731</v>
      </c>
      <c r="AB142" s="39">
        <v>2024</v>
      </c>
      <c r="AC142" s="33"/>
    </row>
    <row r="143" spans="1:32" ht="31.5" x14ac:dyDescent="0.25">
      <c r="A143" s="50" t="s">
        <v>18</v>
      </c>
      <c r="B143" s="50" t="s">
        <v>19</v>
      </c>
      <c r="C143" s="50" t="s">
        <v>24</v>
      </c>
      <c r="D143" s="50" t="s">
        <v>18</v>
      </c>
      <c r="E143" s="50" t="s">
        <v>21</v>
      </c>
      <c r="F143" s="50" t="s">
        <v>18</v>
      </c>
      <c r="G143" s="50" t="s">
        <v>22</v>
      </c>
      <c r="H143" s="50" t="s">
        <v>19</v>
      </c>
      <c r="I143" s="50" t="s">
        <v>24</v>
      </c>
      <c r="J143" s="50" t="s">
        <v>18</v>
      </c>
      <c r="K143" s="50" t="s">
        <v>18</v>
      </c>
      <c r="L143" s="50" t="s">
        <v>19</v>
      </c>
      <c r="M143" s="50" t="s">
        <v>43</v>
      </c>
      <c r="N143" s="50" t="s">
        <v>43</v>
      </c>
      <c r="O143" s="50" t="s">
        <v>43</v>
      </c>
      <c r="P143" s="50" t="s">
        <v>43</v>
      </c>
      <c r="Q143" s="50" t="s">
        <v>43</v>
      </c>
      <c r="R143" s="68" t="s">
        <v>120</v>
      </c>
      <c r="S143" s="84" t="s">
        <v>0</v>
      </c>
      <c r="T143" s="55">
        <f>0+236</f>
        <v>236</v>
      </c>
      <c r="U143" s="55">
        <f>1036-229-48-141.6</f>
        <v>617.4</v>
      </c>
      <c r="V143" s="55">
        <f>1036-150-281.7-227.2</f>
        <v>377.09999999999997</v>
      </c>
      <c r="W143" s="55">
        <f>886-30-328.2</f>
        <v>527.79999999999995</v>
      </c>
      <c r="X143" s="55">
        <f>886-30-80</f>
        <v>776</v>
      </c>
      <c r="Y143" s="55">
        <v>886</v>
      </c>
      <c r="Z143" s="55">
        <v>886</v>
      </c>
      <c r="AA143" s="55">
        <f>SUM(T143:Z143)</f>
        <v>4306.3</v>
      </c>
      <c r="AB143" s="54">
        <v>2024</v>
      </c>
      <c r="AC143" s="33"/>
    </row>
    <row r="144" spans="1:32" ht="30.6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71" t="s">
        <v>121</v>
      </c>
      <c r="S144" s="139" t="s">
        <v>50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45">
        <f>SUM(U144:Z144)</f>
        <v>1</v>
      </c>
      <c r="AB144" s="39">
        <v>2019</v>
      </c>
      <c r="AC144" s="113"/>
      <c r="AD144" s="99"/>
      <c r="AE144" s="99"/>
      <c r="AF144" s="99"/>
    </row>
    <row r="145" spans="1:32" ht="31.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71" t="s">
        <v>171</v>
      </c>
      <c r="S145" s="139" t="s">
        <v>50</v>
      </c>
      <c r="T145" s="2">
        <v>3</v>
      </c>
      <c r="U145" s="2">
        <f>5-1</f>
        <v>4</v>
      </c>
      <c r="V145" s="2">
        <f t="shared" ref="V145:Z145" si="50">5-1</f>
        <v>4</v>
      </c>
      <c r="W145" s="2">
        <f t="shared" si="50"/>
        <v>4</v>
      </c>
      <c r="X145" s="2">
        <f t="shared" si="50"/>
        <v>4</v>
      </c>
      <c r="Y145" s="2">
        <f t="shared" si="50"/>
        <v>4</v>
      </c>
      <c r="Z145" s="2">
        <f t="shared" si="50"/>
        <v>4</v>
      </c>
      <c r="AA145" s="45">
        <v>4</v>
      </c>
      <c r="AB145" s="39">
        <v>2024</v>
      </c>
      <c r="AC145" s="33"/>
      <c r="AD145" s="99"/>
      <c r="AE145" s="99"/>
      <c r="AF145" s="99"/>
    </row>
    <row r="146" spans="1:32" ht="31.5" x14ac:dyDescent="0.25">
      <c r="A146" s="50" t="s">
        <v>18</v>
      </c>
      <c r="B146" s="50" t="s">
        <v>19</v>
      </c>
      <c r="C146" s="50" t="s">
        <v>20</v>
      </c>
      <c r="D146" s="50" t="s">
        <v>18</v>
      </c>
      <c r="E146" s="50" t="s">
        <v>21</v>
      </c>
      <c r="F146" s="50" t="s">
        <v>18</v>
      </c>
      <c r="G146" s="50" t="s">
        <v>22</v>
      </c>
      <c r="H146" s="50" t="s">
        <v>19</v>
      </c>
      <c r="I146" s="50" t="s">
        <v>24</v>
      </c>
      <c r="J146" s="50" t="s">
        <v>18</v>
      </c>
      <c r="K146" s="50" t="s">
        <v>18</v>
      </c>
      <c r="L146" s="50" t="s">
        <v>19</v>
      </c>
      <c r="M146" s="50" t="s">
        <v>43</v>
      </c>
      <c r="N146" s="50" t="s">
        <v>43</v>
      </c>
      <c r="O146" s="50" t="s">
        <v>43</v>
      </c>
      <c r="P146" s="50" t="s">
        <v>43</v>
      </c>
      <c r="Q146" s="50" t="s">
        <v>43</v>
      </c>
      <c r="R146" s="68" t="s">
        <v>166</v>
      </c>
      <c r="S146" s="84" t="s">
        <v>0</v>
      </c>
      <c r="T146" s="55">
        <f>0+550+1550.7</f>
        <v>2100.6999999999998</v>
      </c>
      <c r="U146" s="55">
        <f>0+4000</f>
        <v>4000</v>
      </c>
      <c r="V146" s="55">
        <f>0</f>
        <v>0</v>
      </c>
      <c r="W146" s="55">
        <f>0</f>
        <v>0</v>
      </c>
      <c r="X146" s="55">
        <f>3179.1+3307.4</f>
        <v>6486.5</v>
      </c>
      <c r="Y146" s="55">
        <f>0</f>
        <v>0</v>
      </c>
      <c r="Z146" s="55">
        <f>0</f>
        <v>0</v>
      </c>
      <c r="AA146" s="55">
        <f>SUM(T146:Z146)</f>
        <v>12587.2</v>
      </c>
      <c r="AB146" s="54">
        <v>2022</v>
      </c>
      <c r="AC146" s="33"/>
    </row>
    <row r="147" spans="1:32" ht="30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71" t="s">
        <v>165</v>
      </c>
      <c r="S147" s="139" t="s">
        <v>38</v>
      </c>
      <c r="T147" s="2">
        <v>2</v>
      </c>
      <c r="U147" s="2">
        <v>1</v>
      </c>
      <c r="V147" s="2">
        <v>0</v>
      </c>
      <c r="W147" s="2">
        <v>0</v>
      </c>
      <c r="X147" s="2">
        <v>4</v>
      </c>
      <c r="Y147" s="2">
        <v>0</v>
      </c>
      <c r="Z147" s="2">
        <v>0</v>
      </c>
      <c r="AA147" s="45">
        <f>SUM(T147:Z147)</f>
        <v>7</v>
      </c>
      <c r="AB147" s="39">
        <v>2022</v>
      </c>
      <c r="AC147" s="113"/>
      <c r="AD147" s="99"/>
      <c r="AE147" s="99"/>
      <c r="AF147" s="99"/>
    </row>
    <row r="148" spans="1:32" ht="15.6" customHeight="1" x14ac:dyDescent="0.25">
      <c r="A148" s="50"/>
      <c r="B148" s="50"/>
      <c r="C148" s="50"/>
      <c r="D148" s="50" t="s">
        <v>18</v>
      </c>
      <c r="E148" s="50" t="s">
        <v>21</v>
      </c>
      <c r="F148" s="50" t="s">
        <v>18</v>
      </c>
      <c r="G148" s="50" t="s">
        <v>22</v>
      </c>
      <c r="H148" s="50" t="s">
        <v>19</v>
      </c>
      <c r="I148" s="50" t="s">
        <v>24</v>
      </c>
      <c r="J148" s="50" t="s">
        <v>18</v>
      </c>
      <c r="K148" s="50" t="s">
        <v>235</v>
      </c>
      <c r="L148" s="50" t="s">
        <v>20</v>
      </c>
      <c r="M148" s="50" t="s">
        <v>18</v>
      </c>
      <c r="N148" s="50" t="s">
        <v>18</v>
      </c>
      <c r="O148" s="50" t="s">
        <v>18</v>
      </c>
      <c r="P148" s="50" t="s">
        <v>18</v>
      </c>
      <c r="Q148" s="50" t="s">
        <v>18</v>
      </c>
      <c r="R148" s="164" t="s">
        <v>256</v>
      </c>
      <c r="S148" s="160" t="s">
        <v>0</v>
      </c>
      <c r="T148" s="55">
        <v>0</v>
      </c>
      <c r="U148" s="55">
        <f>SUM(U149:U152)</f>
        <v>116632.7</v>
      </c>
      <c r="V148" s="55">
        <f>V150+V149+V151+V152+V153</f>
        <v>125649.7</v>
      </c>
      <c r="W148" s="55">
        <f>SUM(W149:W152)</f>
        <v>80922.399999999994</v>
      </c>
      <c r="X148" s="55">
        <f>SUM(X150:X154)</f>
        <v>100500</v>
      </c>
      <c r="Y148" s="55">
        <f t="shared" ref="Y148:Z148" si="51">SUM(Y150:Y154)</f>
        <v>88505.8</v>
      </c>
      <c r="Z148" s="55">
        <f t="shared" si="51"/>
        <v>5000</v>
      </c>
      <c r="AA148" s="55">
        <f>SUM(T148:Z148)</f>
        <v>517210.6</v>
      </c>
      <c r="AB148" s="54">
        <v>2024</v>
      </c>
      <c r="AD148" s="94"/>
      <c r="AE148" s="94"/>
    </row>
    <row r="149" spans="1:32" ht="15.75" hidden="1" customHeight="1" x14ac:dyDescent="0.25">
      <c r="A149" s="50" t="s">
        <v>18</v>
      </c>
      <c r="B149" s="50" t="s">
        <v>19</v>
      </c>
      <c r="C149" s="50" t="s">
        <v>20</v>
      </c>
      <c r="D149" s="50" t="s">
        <v>18</v>
      </c>
      <c r="E149" s="50" t="s">
        <v>21</v>
      </c>
      <c r="F149" s="50" t="s">
        <v>18</v>
      </c>
      <c r="G149" s="50" t="s">
        <v>22</v>
      </c>
      <c r="H149" s="50" t="s">
        <v>19</v>
      </c>
      <c r="I149" s="50" t="s">
        <v>24</v>
      </c>
      <c r="J149" s="50" t="s">
        <v>18</v>
      </c>
      <c r="K149" s="50" t="s">
        <v>235</v>
      </c>
      <c r="L149" s="50" t="s">
        <v>20</v>
      </c>
      <c r="M149" s="50" t="s">
        <v>21</v>
      </c>
      <c r="N149" s="50" t="s">
        <v>21</v>
      </c>
      <c r="O149" s="50" t="s">
        <v>21</v>
      </c>
      <c r="P149" s="50" t="s">
        <v>21</v>
      </c>
      <c r="Q149" s="50" t="s">
        <v>19</v>
      </c>
      <c r="R149" s="165"/>
      <c r="S149" s="161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55">
        <f>SUM(T149:Z149)</f>
        <v>0</v>
      </c>
      <c r="AB149" s="54">
        <v>2024</v>
      </c>
      <c r="AD149" s="94"/>
      <c r="AE149" s="94"/>
    </row>
    <row r="150" spans="1:32" x14ac:dyDescent="0.25">
      <c r="A150" s="50" t="s">
        <v>18</v>
      </c>
      <c r="B150" s="50" t="s">
        <v>24</v>
      </c>
      <c r="C150" s="50" t="s">
        <v>22</v>
      </c>
      <c r="D150" s="50" t="s">
        <v>18</v>
      </c>
      <c r="E150" s="50" t="s">
        <v>21</v>
      </c>
      <c r="F150" s="50" t="s">
        <v>18</v>
      </c>
      <c r="G150" s="50" t="s">
        <v>22</v>
      </c>
      <c r="H150" s="50" t="s">
        <v>19</v>
      </c>
      <c r="I150" s="50" t="s">
        <v>24</v>
      </c>
      <c r="J150" s="50" t="s">
        <v>18</v>
      </c>
      <c r="K150" s="50" t="s">
        <v>235</v>
      </c>
      <c r="L150" s="50" t="s">
        <v>20</v>
      </c>
      <c r="M150" s="50" t="s">
        <v>21</v>
      </c>
      <c r="N150" s="50" t="s">
        <v>21</v>
      </c>
      <c r="O150" s="50" t="s">
        <v>21</v>
      </c>
      <c r="P150" s="50" t="s">
        <v>21</v>
      </c>
      <c r="Q150" s="50" t="s">
        <v>19</v>
      </c>
      <c r="R150" s="165"/>
      <c r="S150" s="161"/>
      <c r="T150" s="1">
        <v>0</v>
      </c>
      <c r="U150" s="1">
        <f>115690</f>
        <v>115690</v>
      </c>
      <c r="V150" s="1">
        <v>112612.2</v>
      </c>
      <c r="W150" s="1">
        <f>77969.8+435.9</f>
        <v>78405.7</v>
      </c>
      <c r="X150" s="1">
        <f>74023.7+111.3+0.1</f>
        <v>74135.100000000006</v>
      </c>
      <c r="Y150" s="1">
        <v>79298.8</v>
      </c>
      <c r="Z150" s="1">
        <v>5000</v>
      </c>
      <c r="AA150" s="55">
        <f t="shared" ref="AA150:AA152" si="52">SUM(T150:Z150)</f>
        <v>465141.8</v>
      </c>
      <c r="AB150" s="54">
        <v>2024</v>
      </c>
      <c r="AD150" s="94"/>
      <c r="AE150" s="94"/>
    </row>
    <row r="151" spans="1:32" ht="15.6" hidden="1" customHeight="1" x14ac:dyDescent="0.25">
      <c r="A151" s="50" t="s">
        <v>18</v>
      </c>
      <c r="B151" s="50" t="s">
        <v>19</v>
      </c>
      <c r="C151" s="50" t="s">
        <v>20</v>
      </c>
      <c r="D151" s="50" t="s">
        <v>18</v>
      </c>
      <c r="E151" s="50" t="s">
        <v>21</v>
      </c>
      <c r="F151" s="50" t="s">
        <v>18</v>
      </c>
      <c r="G151" s="50" t="s">
        <v>22</v>
      </c>
      <c r="H151" s="50" t="s">
        <v>19</v>
      </c>
      <c r="I151" s="50" t="s">
        <v>24</v>
      </c>
      <c r="J151" s="50" t="s">
        <v>18</v>
      </c>
      <c r="K151" s="50" t="s">
        <v>18</v>
      </c>
      <c r="L151" s="50" t="s">
        <v>19</v>
      </c>
      <c r="M151" s="50" t="s">
        <v>43</v>
      </c>
      <c r="N151" s="50" t="s">
        <v>43</v>
      </c>
      <c r="O151" s="50" t="s">
        <v>43</v>
      </c>
      <c r="P151" s="50" t="s">
        <v>43</v>
      </c>
      <c r="Q151" s="50" t="s">
        <v>43</v>
      </c>
      <c r="R151" s="165"/>
      <c r="S151" s="161"/>
      <c r="T151" s="1">
        <v>0</v>
      </c>
      <c r="U151" s="1">
        <f>840+131.2-50-921.2</f>
        <v>0</v>
      </c>
      <c r="V151" s="1">
        <f>150+100+100-350</f>
        <v>0</v>
      </c>
      <c r="W151" s="1">
        <v>0</v>
      </c>
      <c r="X151" s="1">
        <v>0</v>
      </c>
      <c r="Y151" s="1">
        <v>0</v>
      </c>
      <c r="Z151" s="1">
        <v>0</v>
      </c>
      <c r="AA151" s="55">
        <f t="shared" ref="AA151" si="53">SUM(T151:Z151)</f>
        <v>0</v>
      </c>
      <c r="AB151" s="54">
        <v>2020</v>
      </c>
      <c r="AD151" s="94"/>
      <c r="AE151" s="94"/>
    </row>
    <row r="152" spans="1:32" x14ac:dyDescent="0.25">
      <c r="A152" s="50" t="s">
        <v>18</v>
      </c>
      <c r="B152" s="50" t="s">
        <v>24</v>
      </c>
      <c r="C152" s="50" t="s">
        <v>22</v>
      </c>
      <c r="D152" s="50" t="s">
        <v>18</v>
      </c>
      <c r="E152" s="50" t="s">
        <v>21</v>
      </c>
      <c r="F152" s="50" t="s">
        <v>18</v>
      </c>
      <c r="G152" s="50" t="s">
        <v>22</v>
      </c>
      <c r="H152" s="50" t="s">
        <v>19</v>
      </c>
      <c r="I152" s="50" t="s">
        <v>24</v>
      </c>
      <c r="J152" s="50" t="s">
        <v>18</v>
      </c>
      <c r="K152" s="50" t="s">
        <v>235</v>
      </c>
      <c r="L152" s="50" t="s">
        <v>20</v>
      </c>
      <c r="M152" s="50" t="s">
        <v>18</v>
      </c>
      <c r="N152" s="50" t="s">
        <v>18</v>
      </c>
      <c r="O152" s="50" t="s">
        <v>21</v>
      </c>
      <c r="P152" s="50" t="s">
        <v>21</v>
      </c>
      <c r="Q152" s="50" t="s">
        <v>19</v>
      </c>
      <c r="R152" s="165"/>
      <c r="S152" s="161"/>
      <c r="T152" s="1">
        <v>0</v>
      </c>
      <c r="U152" s="1">
        <f>2865.5-1232.8-690</f>
        <v>942.7</v>
      </c>
      <c r="V152" s="1">
        <v>4437.5</v>
      </c>
      <c r="W152" s="1">
        <f>4265.6-1748.9</f>
        <v>2516.7000000000003</v>
      </c>
      <c r="X152" s="1">
        <f>6584.3+9447.3-0.1</f>
        <v>16031.499999999998</v>
      </c>
      <c r="Y152" s="1">
        <v>9207</v>
      </c>
      <c r="Z152" s="1">
        <v>0</v>
      </c>
      <c r="AA152" s="55">
        <f t="shared" si="52"/>
        <v>33135.399999999994</v>
      </c>
      <c r="AB152" s="54">
        <v>2023</v>
      </c>
      <c r="AD152" s="94"/>
      <c r="AE152" s="94"/>
    </row>
    <row r="153" spans="1:32" x14ac:dyDescent="0.25">
      <c r="A153" s="50" t="s">
        <v>18</v>
      </c>
      <c r="B153" s="50" t="s">
        <v>24</v>
      </c>
      <c r="C153" s="50" t="s">
        <v>22</v>
      </c>
      <c r="D153" s="50" t="s">
        <v>18</v>
      </c>
      <c r="E153" s="50" t="s">
        <v>21</v>
      </c>
      <c r="F153" s="50" t="s">
        <v>18</v>
      </c>
      <c r="G153" s="50" t="s">
        <v>21</v>
      </c>
      <c r="H153" s="50" t="s">
        <v>19</v>
      </c>
      <c r="I153" s="50" t="s">
        <v>24</v>
      </c>
      <c r="J153" s="50" t="s">
        <v>18</v>
      </c>
      <c r="K153" s="50" t="s">
        <v>235</v>
      </c>
      <c r="L153" s="50" t="s">
        <v>20</v>
      </c>
      <c r="M153" s="50" t="s">
        <v>21</v>
      </c>
      <c r="N153" s="50" t="s">
        <v>21</v>
      </c>
      <c r="O153" s="50" t="s">
        <v>21</v>
      </c>
      <c r="P153" s="50" t="s">
        <v>21</v>
      </c>
      <c r="Q153" s="50" t="s">
        <v>19</v>
      </c>
      <c r="R153" s="165"/>
      <c r="S153" s="161"/>
      <c r="T153" s="1">
        <v>0</v>
      </c>
      <c r="U153" s="1">
        <v>0</v>
      </c>
      <c r="V153" s="1">
        <v>8600</v>
      </c>
      <c r="W153" s="1">
        <v>0</v>
      </c>
      <c r="X153" s="1">
        <v>0</v>
      </c>
      <c r="Y153" s="1">
        <v>0</v>
      </c>
      <c r="Z153" s="1">
        <v>0</v>
      </c>
      <c r="AA153" s="55">
        <f t="shared" ref="AA153:AA154" si="54">SUM(T153:Z153)</f>
        <v>8600</v>
      </c>
      <c r="AB153" s="54">
        <v>2020</v>
      </c>
      <c r="AD153" s="94"/>
      <c r="AE153" s="94"/>
    </row>
    <row r="154" spans="1:32" x14ac:dyDescent="0.25">
      <c r="A154" s="50" t="s">
        <v>18</v>
      </c>
      <c r="B154" s="50" t="s">
        <v>24</v>
      </c>
      <c r="C154" s="50" t="s">
        <v>22</v>
      </c>
      <c r="D154" s="50" t="s">
        <v>18</v>
      </c>
      <c r="E154" s="50" t="s">
        <v>21</v>
      </c>
      <c r="F154" s="50" t="s">
        <v>18</v>
      </c>
      <c r="G154" s="50" t="s">
        <v>22</v>
      </c>
      <c r="H154" s="50" t="s">
        <v>19</v>
      </c>
      <c r="I154" s="50" t="s">
        <v>24</v>
      </c>
      <c r="J154" s="50" t="s">
        <v>18</v>
      </c>
      <c r="K154" s="50" t="s">
        <v>18</v>
      </c>
      <c r="L154" s="50" t="s">
        <v>19</v>
      </c>
      <c r="M154" s="50" t="s">
        <v>18</v>
      </c>
      <c r="N154" s="50" t="s">
        <v>19</v>
      </c>
      <c r="O154" s="50" t="s">
        <v>24</v>
      </c>
      <c r="P154" s="50" t="s">
        <v>18</v>
      </c>
      <c r="Q154" s="50" t="s">
        <v>18</v>
      </c>
      <c r="R154" s="166"/>
      <c r="S154" s="162"/>
      <c r="T154" s="1">
        <v>0</v>
      </c>
      <c r="U154" s="1">
        <v>0</v>
      </c>
      <c r="V154" s="1">
        <v>0</v>
      </c>
      <c r="W154" s="1">
        <v>0</v>
      </c>
      <c r="X154" s="1">
        <v>10333.4</v>
      </c>
      <c r="Y154" s="1">
        <v>0</v>
      </c>
      <c r="Z154" s="1">
        <v>0</v>
      </c>
      <c r="AA154" s="55">
        <f t="shared" si="54"/>
        <v>10333.4</v>
      </c>
      <c r="AB154" s="54">
        <v>2022</v>
      </c>
      <c r="AD154" s="94"/>
      <c r="AE154" s="94"/>
    </row>
    <row r="155" spans="1:32" ht="31.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71" t="s">
        <v>74</v>
      </c>
      <c r="S155" s="57" t="s">
        <v>38</v>
      </c>
      <c r="T155" s="2">
        <v>0</v>
      </c>
      <c r="U155" s="2">
        <v>6</v>
      </c>
      <c r="V155" s="42">
        <v>4</v>
      </c>
      <c r="W155" s="42">
        <v>2</v>
      </c>
      <c r="X155" s="42">
        <v>3</v>
      </c>
      <c r="Y155" s="2">
        <v>2</v>
      </c>
      <c r="Z155" s="2">
        <v>3</v>
      </c>
      <c r="AA155" s="45">
        <f>SUM(T155:Z155)</f>
        <v>20</v>
      </c>
      <c r="AB155" s="139">
        <v>2024</v>
      </c>
      <c r="AD155" s="94"/>
      <c r="AE155" s="94"/>
    </row>
    <row r="156" spans="1:32" ht="31.1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71" t="s">
        <v>75</v>
      </c>
      <c r="S156" s="57" t="s">
        <v>52</v>
      </c>
      <c r="T156" s="4">
        <v>0</v>
      </c>
      <c r="U156" s="4">
        <v>58.4</v>
      </c>
      <c r="V156" s="3">
        <f>33.1+13.1</f>
        <v>46.2</v>
      </c>
      <c r="W156" s="3">
        <f>37.9+28.5</f>
        <v>66.400000000000006</v>
      </c>
      <c r="X156" s="3">
        <f>12.5+16.5+28.5</f>
        <v>57.5</v>
      </c>
      <c r="Y156" s="4">
        <f>15.4+16.5</f>
        <v>31.9</v>
      </c>
      <c r="Z156" s="4">
        <v>64.3</v>
      </c>
      <c r="AA156" s="6">
        <f>SUM(T156:Z156)</f>
        <v>324.7</v>
      </c>
      <c r="AB156" s="39">
        <v>2024</v>
      </c>
      <c r="AD156" s="94"/>
      <c r="AE156" s="94"/>
    </row>
    <row r="157" spans="1:32" ht="31.5" x14ac:dyDescent="0.25">
      <c r="A157" s="50" t="s">
        <v>18</v>
      </c>
      <c r="B157" s="50" t="s">
        <v>18</v>
      </c>
      <c r="C157" s="50" t="s">
        <v>25</v>
      </c>
      <c r="D157" s="50" t="s">
        <v>18</v>
      </c>
      <c r="E157" s="50" t="s">
        <v>21</v>
      </c>
      <c r="F157" s="50" t="s">
        <v>18</v>
      </c>
      <c r="G157" s="50" t="s">
        <v>22</v>
      </c>
      <c r="H157" s="50" t="s">
        <v>19</v>
      </c>
      <c r="I157" s="50" t="s">
        <v>24</v>
      </c>
      <c r="J157" s="50" t="s">
        <v>18</v>
      </c>
      <c r="K157" s="50" t="s">
        <v>18</v>
      </c>
      <c r="L157" s="50" t="s">
        <v>19</v>
      </c>
      <c r="M157" s="50" t="s">
        <v>19</v>
      </c>
      <c r="N157" s="50" t="s">
        <v>19</v>
      </c>
      <c r="O157" s="50" t="s">
        <v>19</v>
      </c>
      <c r="P157" s="50" t="s">
        <v>169</v>
      </c>
      <c r="Q157" s="50" t="s">
        <v>18</v>
      </c>
      <c r="R157" s="68" t="s">
        <v>301</v>
      </c>
      <c r="S157" s="51" t="s">
        <v>0</v>
      </c>
      <c r="T157" s="55">
        <v>0</v>
      </c>
      <c r="U157" s="55">
        <f>103354.8-103354.8</f>
        <v>0</v>
      </c>
      <c r="V157" s="55">
        <v>1000</v>
      </c>
      <c r="W157" s="55">
        <v>0</v>
      </c>
      <c r="X157" s="55">
        <v>0</v>
      </c>
      <c r="Y157" s="55">
        <v>0</v>
      </c>
      <c r="Z157" s="55">
        <v>0</v>
      </c>
      <c r="AA157" s="55">
        <f>SUM(T157:Y157)</f>
        <v>1000</v>
      </c>
      <c r="AB157" s="54">
        <v>2020</v>
      </c>
      <c r="AD157" s="94"/>
      <c r="AE157" s="94"/>
    </row>
    <row r="158" spans="1:32" ht="31.5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69" t="s">
        <v>300</v>
      </c>
      <c r="S158" s="39" t="s">
        <v>38</v>
      </c>
      <c r="T158" s="42">
        <v>0</v>
      </c>
      <c r="U158" s="42">
        <v>0</v>
      </c>
      <c r="V158" s="42">
        <v>1</v>
      </c>
      <c r="W158" s="42">
        <v>0</v>
      </c>
      <c r="X158" s="42">
        <v>0</v>
      </c>
      <c r="Y158" s="42">
        <v>0</v>
      </c>
      <c r="Z158" s="42">
        <v>0</v>
      </c>
      <c r="AA158" s="45">
        <f t="shared" ref="AA158" si="55">SUM(T158:Y158)</f>
        <v>1</v>
      </c>
      <c r="AB158" s="65">
        <v>2020</v>
      </c>
      <c r="AD158" s="94"/>
      <c r="AE158" s="94"/>
    </row>
    <row r="159" spans="1:32" ht="32.25" customHeight="1" x14ac:dyDescent="0.25">
      <c r="A159" s="50"/>
      <c r="B159" s="50"/>
      <c r="C159" s="50"/>
      <c r="D159" s="50" t="s">
        <v>18</v>
      </c>
      <c r="E159" s="50" t="s">
        <v>21</v>
      </c>
      <c r="F159" s="50" t="s">
        <v>18</v>
      </c>
      <c r="G159" s="50" t="s">
        <v>22</v>
      </c>
      <c r="H159" s="50" t="s">
        <v>19</v>
      </c>
      <c r="I159" s="50" t="s">
        <v>24</v>
      </c>
      <c r="J159" s="50" t="s">
        <v>18</v>
      </c>
      <c r="K159" s="50" t="s">
        <v>18</v>
      </c>
      <c r="L159" s="50" t="s">
        <v>19</v>
      </c>
      <c r="M159" s="50" t="s">
        <v>43</v>
      </c>
      <c r="N159" s="50" t="s">
        <v>43</v>
      </c>
      <c r="O159" s="50" t="s">
        <v>43</v>
      </c>
      <c r="P159" s="50" t="s">
        <v>43</v>
      </c>
      <c r="Q159" s="50" t="s">
        <v>43</v>
      </c>
      <c r="R159" s="68" t="s">
        <v>303</v>
      </c>
      <c r="S159" s="54" t="s">
        <v>0</v>
      </c>
      <c r="T159" s="55">
        <v>0</v>
      </c>
      <c r="U159" s="55">
        <f>103354.8-103354.8</f>
        <v>0</v>
      </c>
      <c r="V159" s="55">
        <v>0</v>
      </c>
      <c r="W159" s="55">
        <f t="shared" ref="W159:Z159" si="56">W161+W163+W165+W167</f>
        <v>2070.3000000000002</v>
      </c>
      <c r="X159" s="55">
        <f t="shared" si="56"/>
        <v>1843.4</v>
      </c>
      <c r="Y159" s="55">
        <f t="shared" si="56"/>
        <v>6800</v>
      </c>
      <c r="Z159" s="55">
        <f t="shared" si="56"/>
        <v>7000</v>
      </c>
      <c r="AA159" s="55">
        <f t="shared" ref="AA159:AA168" si="57">SUM(T159:Z159)</f>
        <v>17713.7</v>
      </c>
      <c r="AB159" s="54">
        <v>2024</v>
      </c>
      <c r="AD159" s="94"/>
      <c r="AE159" s="94"/>
    </row>
    <row r="160" spans="1:32" ht="47.25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69" t="s">
        <v>318</v>
      </c>
      <c r="S160" s="39" t="s">
        <v>52</v>
      </c>
      <c r="T160" s="42">
        <v>0</v>
      </c>
      <c r="U160" s="42">
        <v>0</v>
      </c>
      <c r="V160" s="42">
        <v>0</v>
      </c>
      <c r="W160" s="3">
        <f t="shared" ref="W160:Z160" si="58">W162+W164+W166+W168</f>
        <v>796.2</v>
      </c>
      <c r="X160" s="3">
        <f t="shared" si="58"/>
        <v>792.3</v>
      </c>
      <c r="Y160" s="3">
        <f t="shared" si="58"/>
        <v>817.4</v>
      </c>
      <c r="Z160" s="3">
        <f t="shared" si="58"/>
        <v>817.4</v>
      </c>
      <c r="AA160" s="45">
        <f t="shared" si="57"/>
        <v>3223.3</v>
      </c>
      <c r="AB160" s="39">
        <v>2024</v>
      </c>
      <c r="AD160" s="94"/>
      <c r="AE160" s="94"/>
    </row>
    <row r="161" spans="1:31" ht="32.25" customHeight="1" x14ac:dyDescent="0.25">
      <c r="A161" s="50" t="s">
        <v>18</v>
      </c>
      <c r="B161" s="50" t="s">
        <v>18</v>
      </c>
      <c r="C161" s="50" t="s">
        <v>22</v>
      </c>
      <c r="D161" s="50" t="s">
        <v>18</v>
      </c>
      <c r="E161" s="50" t="s">
        <v>21</v>
      </c>
      <c r="F161" s="50" t="s">
        <v>18</v>
      </c>
      <c r="G161" s="50" t="s">
        <v>22</v>
      </c>
      <c r="H161" s="50" t="s">
        <v>19</v>
      </c>
      <c r="I161" s="50" t="s">
        <v>24</v>
      </c>
      <c r="J161" s="50" t="s">
        <v>18</v>
      </c>
      <c r="K161" s="50" t="s">
        <v>18</v>
      </c>
      <c r="L161" s="50" t="s">
        <v>19</v>
      </c>
      <c r="M161" s="50" t="s">
        <v>43</v>
      </c>
      <c r="N161" s="50" t="s">
        <v>43</v>
      </c>
      <c r="O161" s="50" t="s">
        <v>43</v>
      </c>
      <c r="P161" s="50" t="s">
        <v>43</v>
      </c>
      <c r="Q161" s="50" t="s">
        <v>43</v>
      </c>
      <c r="R161" s="68" t="s">
        <v>303</v>
      </c>
      <c r="S161" s="51" t="s">
        <v>0</v>
      </c>
      <c r="T161" s="1">
        <v>0</v>
      </c>
      <c r="U161" s="1">
        <f t="shared" ref="U161" si="59">103354.8-103354.8</f>
        <v>0</v>
      </c>
      <c r="V161" s="1">
        <v>0</v>
      </c>
      <c r="W161" s="1">
        <f>2000-1135.9-630.3</f>
        <v>233.79999999999995</v>
      </c>
      <c r="X161" s="1">
        <f>2000-177-1287-327.4</f>
        <v>208.60000000000002</v>
      </c>
      <c r="Y161" s="1">
        <v>2000</v>
      </c>
      <c r="Z161" s="1">
        <v>2000</v>
      </c>
      <c r="AA161" s="55">
        <f t="shared" si="57"/>
        <v>4442.3999999999996</v>
      </c>
      <c r="AB161" s="54">
        <v>2024</v>
      </c>
      <c r="AD161" s="94"/>
      <c r="AE161" s="94"/>
    </row>
    <row r="162" spans="1:31" ht="47.25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153" t="s">
        <v>319</v>
      </c>
      <c r="S162" s="39" t="s">
        <v>52</v>
      </c>
      <c r="T162" s="42">
        <v>0</v>
      </c>
      <c r="U162" s="42">
        <v>0</v>
      </c>
      <c r="V162" s="42">
        <v>0</v>
      </c>
      <c r="W162" s="3">
        <v>135</v>
      </c>
      <c r="X162" s="3">
        <v>91.5</v>
      </c>
      <c r="Y162" s="3">
        <v>229.4</v>
      </c>
      <c r="Z162" s="3">
        <v>229.4</v>
      </c>
      <c r="AA162" s="6">
        <f t="shared" si="57"/>
        <v>685.3</v>
      </c>
      <c r="AB162" s="39">
        <v>2024</v>
      </c>
      <c r="AD162" s="94"/>
      <c r="AE162" s="94"/>
    </row>
    <row r="163" spans="1:31" ht="31.5" customHeight="1" x14ac:dyDescent="0.25">
      <c r="A163" s="50" t="s">
        <v>18</v>
      </c>
      <c r="B163" s="50" t="s">
        <v>18</v>
      </c>
      <c r="C163" s="50" t="s">
        <v>24</v>
      </c>
      <c r="D163" s="50" t="s">
        <v>18</v>
      </c>
      <c r="E163" s="50" t="s">
        <v>21</v>
      </c>
      <c r="F163" s="50" t="s">
        <v>18</v>
      </c>
      <c r="G163" s="50" t="s">
        <v>22</v>
      </c>
      <c r="H163" s="50" t="s">
        <v>19</v>
      </c>
      <c r="I163" s="50" t="s">
        <v>24</v>
      </c>
      <c r="J163" s="50" t="s">
        <v>18</v>
      </c>
      <c r="K163" s="50" t="s">
        <v>18</v>
      </c>
      <c r="L163" s="50" t="s">
        <v>19</v>
      </c>
      <c r="M163" s="50" t="s">
        <v>43</v>
      </c>
      <c r="N163" s="50" t="s">
        <v>43</v>
      </c>
      <c r="O163" s="50" t="s">
        <v>43</v>
      </c>
      <c r="P163" s="50" t="s">
        <v>43</v>
      </c>
      <c r="Q163" s="50" t="s">
        <v>43</v>
      </c>
      <c r="R163" s="68" t="s">
        <v>303</v>
      </c>
      <c r="S163" s="51" t="s">
        <v>0</v>
      </c>
      <c r="T163" s="1">
        <v>0</v>
      </c>
      <c r="U163" s="1">
        <f t="shared" ref="U163" si="60">103354.8-103354.8</f>
        <v>0</v>
      </c>
      <c r="V163" s="1">
        <v>0</v>
      </c>
      <c r="W163" s="1">
        <f>1500-57.9-698.8-150</f>
        <v>593.29999999999995</v>
      </c>
      <c r="X163" s="1">
        <f>1500-417.3-15-567.7</f>
        <v>500</v>
      </c>
      <c r="Y163" s="1">
        <v>1500</v>
      </c>
      <c r="Z163" s="1">
        <v>1500</v>
      </c>
      <c r="AA163" s="55">
        <f t="shared" si="57"/>
        <v>4093.3</v>
      </c>
      <c r="AB163" s="54">
        <v>2024</v>
      </c>
      <c r="AD163" s="94"/>
      <c r="AE163" s="94"/>
    </row>
    <row r="164" spans="1:31" ht="47.25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71" t="s">
        <v>320</v>
      </c>
      <c r="S164" s="39" t="s">
        <v>52</v>
      </c>
      <c r="T164" s="42">
        <v>0</v>
      </c>
      <c r="U164" s="42">
        <v>0</v>
      </c>
      <c r="V164" s="42">
        <v>0</v>
      </c>
      <c r="W164" s="3">
        <v>197.4</v>
      </c>
      <c r="X164" s="3">
        <v>173.4</v>
      </c>
      <c r="Y164" s="3">
        <v>172</v>
      </c>
      <c r="Z164" s="3">
        <v>172</v>
      </c>
      <c r="AA164" s="6">
        <f t="shared" si="57"/>
        <v>714.8</v>
      </c>
      <c r="AB164" s="39">
        <v>2024</v>
      </c>
      <c r="AD164" s="94"/>
      <c r="AE164" s="94"/>
    </row>
    <row r="165" spans="1:31" ht="31.5" customHeight="1" x14ac:dyDescent="0.25">
      <c r="A165" s="50" t="s">
        <v>18</v>
      </c>
      <c r="B165" s="50" t="s">
        <v>18</v>
      </c>
      <c r="C165" s="50" t="s">
        <v>21</v>
      </c>
      <c r="D165" s="50" t="s">
        <v>18</v>
      </c>
      <c r="E165" s="50" t="s">
        <v>21</v>
      </c>
      <c r="F165" s="50" t="s">
        <v>18</v>
      </c>
      <c r="G165" s="50" t="s">
        <v>22</v>
      </c>
      <c r="H165" s="50" t="s">
        <v>19</v>
      </c>
      <c r="I165" s="50" t="s">
        <v>24</v>
      </c>
      <c r="J165" s="50" t="s">
        <v>18</v>
      </c>
      <c r="K165" s="50" t="s">
        <v>18</v>
      </c>
      <c r="L165" s="50" t="s">
        <v>19</v>
      </c>
      <c r="M165" s="50" t="s">
        <v>43</v>
      </c>
      <c r="N165" s="50" t="s">
        <v>43</v>
      </c>
      <c r="O165" s="50" t="s">
        <v>43</v>
      </c>
      <c r="P165" s="50" t="s">
        <v>43</v>
      </c>
      <c r="Q165" s="50" t="s">
        <v>43</v>
      </c>
      <c r="R165" s="68" t="s">
        <v>303</v>
      </c>
      <c r="S165" s="51" t="s">
        <v>0</v>
      </c>
      <c r="T165" s="1">
        <v>0</v>
      </c>
      <c r="U165" s="1">
        <f t="shared" ref="U165" si="61">103354.8-103354.8</f>
        <v>0</v>
      </c>
      <c r="V165" s="1">
        <v>0</v>
      </c>
      <c r="W165" s="1">
        <f>2000-26.3-155-153-1074.6</f>
        <v>591.10000000000014</v>
      </c>
      <c r="X165" s="1">
        <f>2000-37-600-245-483.7</f>
        <v>634.29999999999995</v>
      </c>
      <c r="Y165" s="1">
        <v>2000</v>
      </c>
      <c r="Z165" s="1">
        <v>2000</v>
      </c>
      <c r="AA165" s="55">
        <f t="shared" si="57"/>
        <v>5225.3999999999996</v>
      </c>
      <c r="AB165" s="54">
        <v>2024</v>
      </c>
      <c r="AD165" s="94"/>
      <c r="AE165" s="94"/>
    </row>
    <row r="166" spans="1:31" ht="47.25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69" t="s">
        <v>321</v>
      </c>
      <c r="S166" s="39" t="s">
        <v>52</v>
      </c>
      <c r="T166" s="42">
        <v>0</v>
      </c>
      <c r="U166" s="42">
        <v>0</v>
      </c>
      <c r="V166" s="42">
        <v>0</v>
      </c>
      <c r="W166" s="3">
        <v>225</v>
      </c>
      <c r="X166" s="3">
        <v>266</v>
      </c>
      <c r="Y166" s="3">
        <v>266</v>
      </c>
      <c r="Z166" s="3">
        <v>266</v>
      </c>
      <c r="AA166" s="6">
        <f t="shared" si="57"/>
        <v>1023</v>
      </c>
      <c r="AB166" s="39">
        <v>2024</v>
      </c>
      <c r="AD166" s="94"/>
      <c r="AE166" s="94"/>
    </row>
    <row r="167" spans="1:31" ht="32.25" customHeight="1" x14ac:dyDescent="0.25">
      <c r="A167" s="50" t="s">
        <v>18</v>
      </c>
      <c r="B167" s="50" t="s">
        <v>18</v>
      </c>
      <c r="C167" s="50" t="s">
        <v>25</v>
      </c>
      <c r="D167" s="50" t="s">
        <v>18</v>
      </c>
      <c r="E167" s="50" t="s">
        <v>21</v>
      </c>
      <c r="F167" s="50" t="s">
        <v>18</v>
      </c>
      <c r="G167" s="50" t="s">
        <v>22</v>
      </c>
      <c r="H167" s="50" t="s">
        <v>19</v>
      </c>
      <c r="I167" s="50" t="s">
        <v>24</v>
      </c>
      <c r="J167" s="50" t="s">
        <v>18</v>
      </c>
      <c r="K167" s="50" t="s">
        <v>18</v>
      </c>
      <c r="L167" s="50" t="s">
        <v>19</v>
      </c>
      <c r="M167" s="50" t="s">
        <v>43</v>
      </c>
      <c r="N167" s="50" t="s">
        <v>43</v>
      </c>
      <c r="O167" s="50" t="s">
        <v>43</v>
      </c>
      <c r="P167" s="50" t="s">
        <v>43</v>
      </c>
      <c r="Q167" s="50" t="s">
        <v>43</v>
      </c>
      <c r="R167" s="68" t="s">
        <v>303</v>
      </c>
      <c r="S167" s="51" t="s">
        <v>0</v>
      </c>
      <c r="T167" s="1">
        <v>0</v>
      </c>
      <c r="U167" s="1">
        <f t="shared" ref="U167" si="62">103354.8-103354.8</f>
        <v>0</v>
      </c>
      <c r="V167" s="1">
        <v>0</v>
      </c>
      <c r="W167" s="1">
        <f>1500-817.5-30.4</f>
        <v>652.1</v>
      </c>
      <c r="X167" s="1">
        <f>1500-999.4-0.1</f>
        <v>500.5</v>
      </c>
      <c r="Y167" s="1">
        <v>1300</v>
      </c>
      <c r="Z167" s="1">
        <v>1500</v>
      </c>
      <c r="AA167" s="55">
        <f t="shared" si="57"/>
        <v>3952.6</v>
      </c>
      <c r="AB167" s="54">
        <v>2024</v>
      </c>
      <c r="AD167" s="94"/>
      <c r="AE167" s="94"/>
    </row>
    <row r="168" spans="1:31" ht="47.2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69" t="s">
        <v>322</v>
      </c>
      <c r="S168" s="39" t="s">
        <v>52</v>
      </c>
      <c r="T168" s="42">
        <v>0</v>
      </c>
      <c r="U168" s="42">
        <v>0</v>
      </c>
      <c r="V168" s="42">
        <v>0</v>
      </c>
      <c r="W168" s="3">
        <v>238.8</v>
      </c>
      <c r="X168" s="3">
        <v>261.39999999999998</v>
      </c>
      <c r="Y168" s="3">
        <v>150</v>
      </c>
      <c r="Z168" s="3">
        <v>150</v>
      </c>
      <c r="AA168" s="6">
        <f t="shared" si="57"/>
        <v>800.2</v>
      </c>
      <c r="AB168" s="39">
        <v>2024</v>
      </c>
      <c r="AD168" s="94"/>
      <c r="AE168" s="94"/>
    </row>
    <row r="169" spans="1:31" ht="80.25" customHeight="1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150" t="s">
        <v>331</v>
      </c>
      <c r="S169" s="51" t="s">
        <v>41</v>
      </c>
      <c r="T169" s="52">
        <v>0</v>
      </c>
      <c r="U169" s="52">
        <v>0</v>
      </c>
      <c r="V169" s="52">
        <v>0</v>
      </c>
      <c r="W169" s="52">
        <v>1</v>
      </c>
      <c r="X169" s="52">
        <v>1</v>
      </c>
      <c r="Y169" s="52">
        <v>1</v>
      </c>
      <c r="Z169" s="52">
        <v>1</v>
      </c>
      <c r="AA169" s="53">
        <v>1</v>
      </c>
      <c r="AB169" s="54">
        <v>2024</v>
      </c>
      <c r="AD169" s="94"/>
      <c r="AE169" s="94"/>
    </row>
    <row r="170" spans="1:31" ht="79.900000000000006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69" t="s">
        <v>332</v>
      </c>
      <c r="S170" s="57" t="s">
        <v>38</v>
      </c>
      <c r="T170" s="42">
        <v>0</v>
      </c>
      <c r="U170" s="42">
        <v>0</v>
      </c>
      <c r="V170" s="42">
        <v>0</v>
      </c>
      <c r="W170" s="42">
        <v>4</v>
      </c>
      <c r="X170" s="42">
        <v>4</v>
      </c>
      <c r="Y170" s="42">
        <v>4</v>
      </c>
      <c r="Z170" s="42">
        <v>4</v>
      </c>
      <c r="AA170" s="45">
        <f>SUM(T170:Z170)</f>
        <v>16</v>
      </c>
      <c r="AB170" s="39">
        <v>2024</v>
      </c>
      <c r="AD170" s="94"/>
      <c r="AE170" s="94"/>
    </row>
    <row r="171" spans="1:31" ht="62.25" customHeight="1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150" t="s">
        <v>333</v>
      </c>
      <c r="S171" s="51" t="s">
        <v>41</v>
      </c>
      <c r="T171" s="52">
        <v>0</v>
      </c>
      <c r="U171" s="52">
        <v>0</v>
      </c>
      <c r="V171" s="52">
        <v>0</v>
      </c>
      <c r="W171" s="52">
        <v>1</v>
      </c>
      <c r="X171" s="52">
        <v>1</v>
      </c>
      <c r="Y171" s="52">
        <v>1</v>
      </c>
      <c r="Z171" s="52">
        <v>1</v>
      </c>
      <c r="AA171" s="53">
        <v>1</v>
      </c>
      <c r="AB171" s="54">
        <v>2024</v>
      </c>
      <c r="AD171" s="94"/>
      <c r="AE171" s="94"/>
    </row>
    <row r="172" spans="1:31" ht="78.75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69" t="s">
        <v>338</v>
      </c>
      <c r="S172" s="57" t="s">
        <v>38</v>
      </c>
      <c r="T172" s="42">
        <v>0</v>
      </c>
      <c r="U172" s="42">
        <v>0</v>
      </c>
      <c r="V172" s="42">
        <v>0</v>
      </c>
      <c r="W172" s="42">
        <v>12</v>
      </c>
      <c r="X172" s="42">
        <v>12</v>
      </c>
      <c r="Y172" s="42">
        <v>12</v>
      </c>
      <c r="Z172" s="42">
        <v>12</v>
      </c>
      <c r="AA172" s="45">
        <f>SUM(T172:Z172)</f>
        <v>48</v>
      </c>
      <c r="AB172" s="39">
        <v>2024</v>
      </c>
      <c r="AD172" s="94"/>
      <c r="AE172" s="94"/>
    </row>
    <row r="173" spans="1:31" ht="31.5" x14ac:dyDescent="0.25">
      <c r="A173" s="50" t="s">
        <v>18</v>
      </c>
      <c r="B173" s="50" t="s">
        <v>19</v>
      </c>
      <c r="C173" s="50" t="s">
        <v>24</v>
      </c>
      <c r="D173" s="50" t="s">
        <v>18</v>
      </c>
      <c r="E173" s="50" t="s">
        <v>21</v>
      </c>
      <c r="F173" s="50" t="s">
        <v>18</v>
      </c>
      <c r="G173" s="50" t="s">
        <v>22</v>
      </c>
      <c r="H173" s="50" t="s">
        <v>19</v>
      </c>
      <c r="I173" s="50" t="s">
        <v>24</v>
      </c>
      <c r="J173" s="50" t="s">
        <v>18</v>
      </c>
      <c r="K173" s="50" t="s">
        <v>18</v>
      </c>
      <c r="L173" s="50" t="s">
        <v>19</v>
      </c>
      <c r="M173" s="50" t="s">
        <v>43</v>
      </c>
      <c r="N173" s="50" t="s">
        <v>43</v>
      </c>
      <c r="O173" s="50" t="s">
        <v>43</v>
      </c>
      <c r="P173" s="50" t="s">
        <v>43</v>
      </c>
      <c r="Q173" s="50" t="s">
        <v>43</v>
      </c>
      <c r="R173" s="68" t="s">
        <v>365</v>
      </c>
      <c r="S173" s="84" t="s">
        <v>0</v>
      </c>
      <c r="T173" s="55">
        <v>0</v>
      </c>
      <c r="U173" s="55">
        <v>0</v>
      </c>
      <c r="V173" s="55">
        <v>0</v>
      </c>
      <c r="W173" s="55">
        <v>0</v>
      </c>
      <c r="X173" s="55">
        <v>0</v>
      </c>
      <c r="Y173" s="55">
        <v>500</v>
      </c>
      <c r="Z173" s="55">
        <v>0</v>
      </c>
      <c r="AA173" s="55">
        <f>SUM(T173:Z173)</f>
        <v>500</v>
      </c>
      <c r="AB173" s="54">
        <v>2023</v>
      </c>
      <c r="AD173" s="94"/>
      <c r="AE173" s="94"/>
    </row>
    <row r="174" spans="1:31" ht="31.5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71" t="s">
        <v>364</v>
      </c>
      <c r="S174" s="145" t="s">
        <v>50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1</v>
      </c>
      <c r="Z174" s="2">
        <v>0</v>
      </c>
      <c r="AA174" s="45">
        <f>SUM(U174:Z174)</f>
        <v>1</v>
      </c>
      <c r="AB174" s="39">
        <v>2023</v>
      </c>
      <c r="AD174" s="94"/>
      <c r="AE174" s="94"/>
    </row>
    <row r="175" spans="1:31" s="47" customFormat="1" ht="31.5" x14ac:dyDescent="0.25">
      <c r="A175" s="44"/>
      <c r="B175" s="44"/>
      <c r="C175" s="44"/>
      <c r="D175" s="44"/>
      <c r="E175" s="44"/>
      <c r="F175" s="44"/>
      <c r="G175" s="44"/>
      <c r="H175" s="44" t="s">
        <v>19</v>
      </c>
      <c r="I175" s="44" t="s">
        <v>24</v>
      </c>
      <c r="J175" s="44" t="s">
        <v>18</v>
      </c>
      <c r="K175" s="44" t="s">
        <v>18</v>
      </c>
      <c r="L175" s="44" t="s">
        <v>20</v>
      </c>
      <c r="M175" s="44" t="s">
        <v>18</v>
      </c>
      <c r="N175" s="44" t="s">
        <v>18</v>
      </c>
      <c r="O175" s="44" t="s">
        <v>18</v>
      </c>
      <c r="P175" s="44" t="s">
        <v>18</v>
      </c>
      <c r="Q175" s="44" t="s">
        <v>18</v>
      </c>
      <c r="R175" s="66" t="s">
        <v>56</v>
      </c>
      <c r="S175" s="131" t="s">
        <v>0</v>
      </c>
      <c r="T175" s="130">
        <f>T198+T245+T184+T448</f>
        <v>147061.20000000001</v>
      </c>
      <c r="U175" s="130">
        <f>U198+U245+U184+U448</f>
        <v>108807.59999999998</v>
      </c>
      <c r="V175" s="130">
        <f>V198+V245+V184+V448</f>
        <v>7655.1</v>
      </c>
      <c r="W175" s="130">
        <f>W198+W245+W184+W448+W470</f>
        <v>33106.5</v>
      </c>
      <c r="X175" s="130">
        <f>X198+X245+X184+X448+X470</f>
        <v>55962.5</v>
      </c>
      <c r="Y175" s="130">
        <f>Y198+Y245+Y184+Y448+Y470</f>
        <v>14139.6</v>
      </c>
      <c r="Z175" s="130">
        <f>Z198+Z245+Z184+Z448+Z470</f>
        <v>20000</v>
      </c>
      <c r="AA175" s="130">
        <f>SUM(T175:Z175)</f>
        <v>386732.49999999994</v>
      </c>
      <c r="AB175" s="131">
        <v>2024</v>
      </c>
      <c r="AC175" s="101"/>
      <c r="AD175" s="46"/>
    </row>
    <row r="176" spans="1:31" s="47" customFormat="1" ht="31.5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69" t="s">
        <v>229</v>
      </c>
      <c r="S176" s="39" t="s">
        <v>38</v>
      </c>
      <c r="T176" s="2">
        <f>T451+T203+T247</f>
        <v>58</v>
      </c>
      <c r="U176" s="42">
        <f>U451+U203+U247</f>
        <v>42</v>
      </c>
      <c r="V176" s="2">
        <f>V451+V203+V247</f>
        <v>7</v>
      </c>
      <c r="W176" s="2">
        <f>W451+W203+W247+W472</f>
        <v>17</v>
      </c>
      <c r="X176" s="2">
        <f>X451+X203+X247+X472</f>
        <v>14</v>
      </c>
      <c r="Y176" s="2">
        <f>Y451+Y203+Y247+Y472</f>
        <v>12</v>
      </c>
      <c r="Z176" s="2">
        <f>Z451+Z203+Z247+Z472</f>
        <v>16</v>
      </c>
      <c r="AA176" s="43">
        <f>SUM(T176:Z176)</f>
        <v>166</v>
      </c>
      <c r="AB176" s="39">
        <v>2024</v>
      </c>
      <c r="AC176" s="81"/>
      <c r="AD176" s="46"/>
    </row>
    <row r="177" spans="1:31" s="47" customFormat="1" ht="31.5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69" t="s">
        <v>230</v>
      </c>
      <c r="S177" s="39" t="s">
        <v>52</v>
      </c>
      <c r="T177" s="4">
        <f>T451+T201+T246</f>
        <v>63</v>
      </c>
      <c r="U177" s="4">
        <f>U452+U201+U246</f>
        <v>42.2</v>
      </c>
      <c r="V177" s="4">
        <f>V452+V201+V246</f>
        <v>1.7000000000000002</v>
      </c>
      <c r="W177" s="4">
        <f>W452+W201+W246+W471</f>
        <v>11</v>
      </c>
      <c r="X177" s="4">
        <f>X452+X201+X246+X471</f>
        <v>15.7</v>
      </c>
      <c r="Y177" s="4">
        <f>Y452+Y201+Y246+Y471</f>
        <v>12</v>
      </c>
      <c r="Z177" s="4">
        <f>Z452+Z201+Z246+Z471</f>
        <v>19</v>
      </c>
      <c r="AA177" s="5">
        <f>SUM(T177:Z177)</f>
        <v>164.6</v>
      </c>
      <c r="AB177" s="39">
        <v>2024</v>
      </c>
      <c r="AC177" s="101"/>
      <c r="AD177" s="46"/>
    </row>
    <row r="178" spans="1:31" s="8" customFormat="1" ht="47.25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71" t="s">
        <v>122</v>
      </c>
      <c r="S178" s="139" t="s">
        <v>9</v>
      </c>
      <c r="T178" s="3">
        <f>((4338+39.6)+63)/13987*100</f>
        <v>31.748051762350755</v>
      </c>
      <c r="U178" s="3">
        <f>((4338+39.6)+T177+U177)/13987*100</f>
        <v>32.049760491885323</v>
      </c>
      <c r="V178" s="3">
        <f>((4338+39.6)+U177+V177+T177)/13987*100</f>
        <v>32.061914635018226</v>
      </c>
      <c r="W178" s="3">
        <f>((4338+39.6)+T177+V177+W177+U177)/13987*100</f>
        <v>32.140559090584112</v>
      </c>
      <c r="X178" s="3">
        <f>((4338+39.6)+T177+U177+W177+X177+V177)/13987*100</f>
        <v>32.252806177164508</v>
      </c>
      <c r="Y178" s="3">
        <f>((4338+39.6)+T177+U177+V177+X177+Y177+W177)/13987*100</f>
        <v>32.338600128690928</v>
      </c>
      <c r="Z178" s="3">
        <f>((4338+39.6)+T177+U177+V177+W177+Y177+Z177+X177)/13987*100</f>
        <v>32.474440551941086</v>
      </c>
      <c r="AA178" s="5">
        <f>Z178</f>
        <v>32.474440551941086</v>
      </c>
      <c r="AB178" s="39">
        <v>2024</v>
      </c>
      <c r="AC178" s="93"/>
      <c r="AD178" s="56"/>
    </row>
    <row r="179" spans="1:31" ht="47.25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82" t="s">
        <v>123</v>
      </c>
      <c r="S179" s="139" t="s">
        <v>9</v>
      </c>
      <c r="T179" s="3">
        <f>30/58*100</f>
        <v>51.724137931034484</v>
      </c>
      <c r="U179" s="3">
        <f>22/42*100</f>
        <v>52.380952380952387</v>
      </c>
      <c r="V179" s="3">
        <f>7/7*100</f>
        <v>100</v>
      </c>
      <c r="W179" s="3">
        <f>15/17*100</f>
        <v>88.235294117647058</v>
      </c>
      <c r="X179" s="4">
        <v>91</v>
      </c>
      <c r="Y179" s="4">
        <v>91</v>
      </c>
      <c r="Z179" s="4">
        <v>91</v>
      </c>
      <c r="AA179" s="5">
        <v>91</v>
      </c>
      <c r="AB179" s="39">
        <v>2024</v>
      </c>
      <c r="AC179" s="101"/>
    </row>
    <row r="180" spans="1:31" ht="46.9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82" t="s">
        <v>232</v>
      </c>
      <c r="S180" s="139" t="s">
        <v>233</v>
      </c>
      <c r="T180" s="4">
        <v>0</v>
      </c>
      <c r="U180" s="4">
        <v>0</v>
      </c>
      <c r="V180" s="4">
        <v>0</v>
      </c>
      <c r="W180" s="4">
        <f>1.1*4*100%</f>
        <v>4.4000000000000004</v>
      </c>
      <c r="X180" s="4">
        <v>23.7</v>
      </c>
      <c r="Y180" s="4">
        <v>23.7</v>
      </c>
      <c r="Z180" s="4">
        <v>23.7</v>
      </c>
      <c r="AA180" s="5">
        <v>23.7</v>
      </c>
      <c r="AB180" s="39">
        <v>2024</v>
      </c>
      <c r="AC180" s="101"/>
    </row>
    <row r="181" spans="1:31" s="47" customFormat="1" ht="31.5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69" t="s">
        <v>124</v>
      </c>
      <c r="S181" s="39" t="s">
        <v>9</v>
      </c>
      <c r="T181" s="3">
        <f>27.6/336.9*100</f>
        <v>8.1923419412288521</v>
      </c>
      <c r="U181" s="3">
        <f>11.3/336.9*100</f>
        <v>3.3541110121697839</v>
      </c>
      <c r="V181" s="3">
        <f>2/336.9*100</f>
        <v>0.59364796675571385</v>
      </c>
      <c r="W181" s="3">
        <f>5.6/336.9*100</f>
        <v>1.6622143069159989</v>
      </c>
      <c r="X181" s="3">
        <v>43.1</v>
      </c>
      <c r="Y181" s="3">
        <v>43.1</v>
      </c>
      <c r="Z181" s="3">
        <v>43.1</v>
      </c>
      <c r="AA181" s="6">
        <v>43.1</v>
      </c>
      <c r="AB181" s="39">
        <v>2024</v>
      </c>
      <c r="AC181" s="101"/>
      <c r="AD181" s="46"/>
    </row>
    <row r="182" spans="1:31" s="47" customFormat="1" ht="50.45" customHeight="1" x14ac:dyDescent="0.2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150" t="s">
        <v>125</v>
      </c>
      <c r="S182" s="51" t="s">
        <v>41</v>
      </c>
      <c r="T182" s="52">
        <v>0</v>
      </c>
      <c r="U182" s="52">
        <v>0</v>
      </c>
      <c r="V182" s="52">
        <v>0</v>
      </c>
      <c r="W182" s="52">
        <v>1</v>
      </c>
      <c r="X182" s="52">
        <v>1</v>
      </c>
      <c r="Y182" s="52">
        <v>0</v>
      </c>
      <c r="Z182" s="52">
        <v>1</v>
      </c>
      <c r="AA182" s="53">
        <v>1</v>
      </c>
      <c r="AB182" s="54">
        <v>2024</v>
      </c>
      <c r="AC182" s="101"/>
      <c r="AD182" s="46"/>
    </row>
    <row r="183" spans="1:31" s="47" customFormat="1" ht="31.5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69" t="s">
        <v>72</v>
      </c>
      <c r="S183" s="39" t="s">
        <v>38</v>
      </c>
      <c r="T183" s="42">
        <v>0</v>
      </c>
      <c r="U183" s="42">
        <v>0</v>
      </c>
      <c r="V183" s="42">
        <f t="shared" ref="V183:Z183" si="63">V451</f>
        <v>0</v>
      </c>
      <c r="W183" s="42">
        <v>1</v>
      </c>
      <c r="X183" s="42">
        <v>2</v>
      </c>
      <c r="Y183" s="42">
        <f t="shared" si="63"/>
        <v>0</v>
      </c>
      <c r="Z183" s="42">
        <f t="shared" si="63"/>
        <v>2</v>
      </c>
      <c r="AA183" s="45">
        <f>SUM(T183:Z183)</f>
        <v>5</v>
      </c>
      <c r="AB183" s="39">
        <v>2024</v>
      </c>
      <c r="AC183" s="107"/>
      <c r="AD183" s="103"/>
      <c r="AE183" s="103"/>
    </row>
    <row r="184" spans="1:31" s="47" customFormat="1" ht="31.5" x14ac:dyDescent="0.25">
      <c r="A184" s="50"/>
      <c r="B184" s="50"/>
      <c r="C184" s="50"/>
      <c r="D184" s="50" t="s">
        <v>18</v>
      </c>
      <c r="E184" s="50" t="s">
        <v>21</v>
      </c>
      <c r="F184" s="50" t="s">
        <v>18</v>
      </c>
      <c r="G184" s="50" t="s">
        <v>22</v>
      </c>
      <c r="H184" s="50" t="s">
        <v>19</v>
      </c>
      <c r="I184" s="50" t="s">
        <v>24</v>
      </c>
      <c r="J184" s="50" t="s">
        <v>18</v>
      </c>
      <c r="K184" s="50" t="s">
        <v>18</v>
      </c>
      <c r="L184" s="50" t="s">
        <v>20</v>
      </c>
      <c r="M184" s="50" t="s">
        <v>43</v>
      </c>
      <c r="N184" s="50" t="s">
        <v>43</v>
      </c>
      <c r="O184" s="50" t="s">
        <v>43</v>
      </c>
      <c r="P184" s="50" t="s">
        <v>43</v>
      </c>
      <c r="Q184" s="50" t="s">
        <v>43</v>
      </c>
      <c r="R184" s="150" t="s">
        <v>236</v>
      </c>
      <c r="S184" s="54" t="s">
        <v>0</v>
      </c>
      <c r="T184" s="55">
        <f t="shared" ref="T184:Y184" si="64">T186+T188+T190+T192</f>
        <v>1307</v>
      </c>
      <c r="U184" s="55">
        <f t="shared" si="64"/>
        <v>0</v>
      </c>
      <c r="V184" s="55">
        <f t="shared" si="64"/>
        <v>0</v>
      </c>
      <c r="W184" s="55">
        <f t="shared" si="64"/>
        <v>0</v>
      </c>
      <c r="X184" s="55">
        <f t="shared" si="64"/>
        <v>0</v>
      </c>
      <c r="Y184" s="55">
        <f t="shared" si="64"/>
        <v>0</v>
      </c>
      <c r="Z184" s="55">
        <f t="shared" ref="Z184" si="65">Z186+Z188+Z190+Z192</f>
        <v>0</v>
      </c>
      <c r="AA184" s="55">
        <f>SUM(T184:Y184)</f>
        <v>1307</v>
      </c>
      <c r="AB184" s="54">
        <v>2018</v>
      </c>
      <c r="AC184" s="101"/>
      <c r="AD184" s="103"/>
      <c r="AE184" s="103"/>
    </row>
    <row r="185" spans="1:31" s="47" customFormat="1" ht="47.25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69" t="s">
        <v>249</v>
      </c>
      <c r="S185" s="48" t="s">
        <v>38</v>
      </c>
      <c r="T185" s="42">
        <f>T187+T189+T191+T193</f>
        <v>39</v>
      </c>
      <c r="U185" s="42">
        <f t="shared" ref="U185:Y185" si="66">U187+U189+U191+U193</f>
        <v>0</v>
      </c>
      <c r="V185" s="42">
        <f t="shared" si="66"/>
        <v>0</v>
      </c>
      <c r="W185" s="42">
        <f t="shared" si="66"/>
        <v>0</v>
      </c>
      <c r="X185" s="42">
        <f t="shared" si="66"/>
        <v>0</v>
      </c>
      <c r="Y185" s="42">
        <f t="shared" si="66"/>
        <v>0</v>
      </c>
      <c r="Z185" s="42">
        <f t="shared" ref="Z185" si="67">Z187+Z189+Z191+Z193</f>
        <v>0</v>
      </c>
      <c r="AA185" s="45">
        <f>T185</f>
        <v>39</v>
      </c>
      <c r="AB185" s="39">
        <v>2018</v>
      </c>
      <c r="AC185" s="101"/>
      <c r="AD185" s="103"/>
      <c r="AE185" s="103"/>
    </row>
    <row r="186" spans="1:31" s="47" customFormat="1" ht="30" customHeight="1" x14ac:dyDescent="0.25">
      <c r="A186" s="50" t="s">
        <v>18</v>
      </c>
      <c r="B186" s="50" t="s">
        <v>18</v>
      </c>
      <c r="C186" s="50" t="s">
        <v>22</v>
      </c>
      <c r="D186" s="50" t="s">
        <v>18</v>
      </c>
      <c r="E186" s="50" t="s">
        <v>21</v>
      </c>
      <c r="F186" s="50" t="s">
        <v>18</v>
      </c>
      <c r="G186" s="50" t="s">
        <v>22</v>
      </c>
      <c r="H186" s="50" t="s">
        <v>19</v>
      </c>
      <c r="I186" s="50" t="s">
        <v>24</v>
      </c>
      <c r="J186" s="50" t="s">
        <v>18</v>
      </c>
      <c r="K186" s="50" t="s">
        <v>18</v>
      </c>
      <c r="L186" s="50" t="s">
        <v>20</v>
      </c>
      <c r="M186" s="50" t="s">
        <v>43</v>
      </c>
      <c r="N186" s="50" t="s">
        <v>43</v>
      </c>
      <c r="O186" s="50" t="s">
        <v>43</v>
      </c>
      <c r="P186" s="50" t="s">
        <v>43</v>
      </c>
      <c r="Q186" s="50" t="s">
        <v>43</v>
      </c>
      <c r="R186" s="150" t="s">
        <v>236</v>
      </c>
      <c r="S186" s="51" t="s">
        <v>0</v>
      </c>
      <c r="T186" s="1">
        <v>474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55">
        <f>SUM(T186:Y186)</f>
        <v>474</v>
      </c>
      <c r="AB186" s="54">
        <v>2018</v>
      </c>
      <c r="AC186" s="111"/>
      <c r="AD186" s="104"/>
      <c r="AE186" s="104"/>
    </row>
    <row r="187" spans="1:31" s="47" customFormat="1" ht="63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69" t="s">
        <v>250</v>
      </c>
      <c r="S187" s="48" t="s">
        <v>38</v>
      </c>
      <c r="T187" s="42">
        <v>15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5">
        <f>T187+U187+V187+W187+X187</f>
        <v>15</v>
      </c>
      <c r="AB187" s="39">
        <v>2018</v>
      </c>
      <c r="AC187" s="101"/>
      <c r="AD187" s="46"/>
    </row>
    <row r="188" spans="1:31" s="126" customFormat="1" ht="31.5" x14ac:dyDescent="0.25">
      <c r="A188" s="50" t="s">
        <v>18</v>
      </c>
      <c r="B188" s="50" t="s">
        <v>18</v>
      </c>
      <c r="C188" s="50" t="s">
        <v>24</v>
      </c>
      <c r="D188" s="50" t="s">
        <v>18</v>
      </c>
      <c r="E188" s="50" t="s">
        <v>21</v>
      </c>
      <c r="F188" s="50" t="s">
        <v>18</v>
      </c>
      <c r="G188" s="50" t="s">
        <v>22</v>
      </c>
      <c r="H188" s="50" t="s">
        <v>19</v>
      </c>
      <c r="I188" s="50" t="s">
        <v>24</v>
      </c>
      <c r="J188" s="50" t="s">
        <v>18</v>
      </c>
      <c r="K188" s="50" t="s">
        <v>18</v>
      </c>
      <c r="L188" s="50" t="s">
        <v>20</v>
      </c>
      <c r="M188" s="50" t="s">
        <v>43</v>
      </c>
      <c r="N188" s="50" t="s">
        <v>43</v>
      </c>
      <c r="O188" s="50" t="s">
        <v>43</v>
      </c>
      <c r="P188" s="50" t="s">
        <v>43</v>
      </c>
      <c r="Q188" s="50" t="s">
        <v>43</v>
      </c>
      <c r="R188" s="150" t="s">
        <v>236</v>
      </c>
      <c r="S188" s="51" t="s">
        <v>0</v>
      </c>
      <c r="T188" s="1">
        <f>0+126+400-100</f>
        <v>426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55">
        <f t="shared" ref="AA188:AA193" si="68">SUM(T188:Y188)</f>
        <v>426</v>
      </c>
      <c r="AB188" s="54">
        <v>2018</v>
      </c>
      <c r="AC188" s="124"/>
      <c r="AD188" s="125"/>
      <c r="AE188" s="125"/>
    </row>
    <row r="189" spans="1:31" s="47" customFormat="1" ht="48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69" t="s">
        <v>251</v>
      </c>
      <c r="S189" s="48" t="s">
        <v>38</v>
      </c>
      <c r="T189" s="42">
        <v>4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5">
        <f t="shared" si="68"/>
        <v>4</v>
      </c>
      <c r="AB189" s="39">
        <v>2018</v>
      </c>
      <c r="AC189" s="102"/>
      <c r="AD189" s="103"/>
    </row>
    <row r="190" spans="1:31" s="47" customFormat="1" ht="31.5" x14ac:dyDescent="0.25">
      <c r="A190" s="50" t="s">
        <v>18</v>
      </c>
      <c r="B190" s="50" t="s">
        <v>18</v>
      </c>
      <c r="C190" s="50" t="s">
        <v>21</v>
      </c>
      <c r="D190" s="50" t="s">
        <v>18</v>
      </c>
      <c r="E190" s="50" t="s">
        <v>21</v>
      </c>
      <c r="F190" s="50" t="s">
        <v>18</v>
      </c>
      <c r="G190" s="50" t="s">
        <v>22</v>
      </c>
      <c r="H190" s="50" t="s">
        <v>19</v>
      </c>
      <c r="I190" s="50" t="s">
        <v>24</v>
      </c>
      <c r="J190" s="50" t="s">
        <v>18</v>
      </c>
      <c r="K190" s="50" t="s">
        <v>18</v>
      </c>
      <c r="L190" s="50" t="s">
        <v>20</v>
      </c>
      <c r="M190" s="50" t="s">
        <v>43</v>
      </c>
      <c r="N190" s="50" t="s">
        <v>43</v>
      </c>
      <c r="O190" s="50" t="s">
        <v>43</v>
      </c>
      <c r="P190" s="50" t="s">
        <v>43</v>
      </c>
      <c r="Q190" s="50" t="s">
        <v>43</v>
      </c>
      <c r="R190" s="150" t="s">
        <v>236</v>
      </c>
      <c r="S190" s="51" t="s">
        <v>0</v>
      </c>
      <c r="T190" s="1">
        <v>250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55">
        <f t="shared" si="68"/>
        <v>250</v>
      </c>
      <c r="AB190" s="54">
        <v>2018</v>
      </c>
      <c r="AC190" s="33"/>
      <c r="AD190" s="103"/>
      <c r="AE190" s="103"/>
    </row>
    <row r="191" spans="1:31" s="47" customFormat="1" ht="63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69" t="s">
        <v>252</v>
      </c>
      <c r="S191" s="48" t="s">
        <v>38</v>
      </c>
      <c r="T191" s="42">
        <v>16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42">
        <v>0</v>
      </c>
      <c r="AA191" s="45">
        <f t="shared" si="68"/>
        <v>16</v>
      </c>
      <c r="AB191" s="39">
        <v>2018</v>
      </c>
      <c r="AC191" s="101"/>
      <c r="AD191" s="46"/>
    </row>
    <row r="192" spans="1:31" s="47" customFormat="1" ht="31.5" x14ac:dyDescent="0.25">
      <c r="A192" s="50" t="s">
        <v>18</v>
      </c>
      <c r="B192" s="50" t="s">
        <v>18</v>
      </c>
      <c r="C192" s="50" t="s">
        <v>25</v>
      </c>
      <c r="D192" s="50" t="s">
        <v>18</v>
      </c>
      <c r="E192" s="50" t="s">
        <v>21</v>
      </c>
      <c r="F192" s="50" t="s">
        <v>18</v>
      </c>
      <c r="G192" s="50" t="s">
        <v>22</v>
      </c>
      <c r="H192" s="50" t="s">
        <v>19</v>
      </c>
      <c r="I192" s="50" t="s">
        <v>24</v>
      </c>
      <c r="J192" s="50" t="s">
        <v>18</v>
      </c>
      <c r="K192" s="50" t="s">
        <v>18</v>
      </c>
      <c r="L192" s="50" t="s">
        <v>20</v>
      </c>
      <c r="M192" s="50" t="s">
        <v>43</v>
      </c>
      <c r="N192" s="50" t="s">
        <v>43</v>
      </c>
      <c r="O192" s="50" t="s">
        <v>43</v>
      </c>
      <c r="P192" s="50" t="s">
        <v>43</v>
      </c>
      <c r="Q192" s="50" t="s">
        <v>43</v>
      </c>
      <c r="R192" s="150" t="s">
        <v>236</v>
      </c>
      <c r="S192" s="51" t="s">
        <v>0</v>
      </c>
      <c r="T192" s="1">
        <f>480-430+100+55-48</f>
        <v>157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55">
        <f t="shared" si="68"/>
        <v>157</v>
      </c>
      <c r="AB192" s="54">
        <v>2018</v>
      </c>
      <c r="AC192" s="33"/>
      <c r="AD192" s="103"/>
      <c r="AE192" s="103"/>
    </row>
    <row r="193" spans="1:31" s="47" customFormat="1" ht="63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69" t="s">
        <v>253</v>
      </c>
      <c r="S193" s="48" t="s">
        <v>38</v>
      </c>
      <c r="T193" s="42">
        <v>4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5">
        <f t="shared" si="68"/>
        <v>4</v>
      </c>
      <c r="AB193" s="39">
        <v>2018</v>
      </c>
      <c r="AC193" s="101"/>
      <c r="AD193" s="46"/>
    </row>
    <row r="194" spans="1:31" s="47" customFormat="1" ht="47.25" x14ac:dyDescent="0.2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150" t="s">
        <v>128</v>
      </c>
      <c r="S194" s="51" t="s">
        <v>41</v>
      </c>
      <c r="T194" s="52">
        <v>0</v>
      </c>
      <c r="U194" s="52">
        <v>0</v>
      </c>
      <c r="V194" s="52">
        <v>0</v>
      </c>
      <c r="W194" s="52">
        <v>0</v>
      </c>
      <c r="X194" s="52">
        <v>1</v>
      </c>
      <c r="Y194" s="52">
        <v>0</v>
      </c>
      <c r="Z194" s="52">
        <v>1</v>
      </c>
      <c r="AA194" s="53">
        <v>1</v>
      </c>
      <c r="AB194" s="54">
        <v>2024</v>
      </c>
      <c r="AC194" s="101"/>
      <c r="AD194" s="46"/>
    </row>
    <row r="195" spans="1:31" ht="31.1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69" t="s">
        <v>77</v>
      </c>
      <c r="S195" s="39" t="s">
        <v>38</v>
      </c>
      <c r="T195" s="2">
        <v>0</v>
      </c>
      <c r="U195" s="2">
        <v>0</v>
      </c>
      <c r="V195" s="2">
        <v>0</v>
      </c>
      <c r="W195" s="42">
        <v>0</v>
      </c>
      <c r="X195" s="2">
        <v>1</v>
      </c>
      <c r="Y195" s="2">
        <v>0</v>
      </c>
      <c r="Z195" s="2">
        <v>2</v>
      </c>
      <c r="AA195" s="45">
        <f>SUM(T195:Z195)</f>
        <v>3</v>
      </c>
      <c r="AB195" s="39">
        <v>2024</v>
      </c>
      <c r="AD195" s="94"/>
      <c r="AE195" s="94"/>
    </row>
    <row r="196" spans="1:31" ht="31.9" customHeight="1" x14ac:dyDescent="0.2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150" t="s">
        <v>129</v>
      </c>
      <c r="S196" s="51" t="s">
        <v>41</v>
      </c>
      <c r="T196" s="52">
        <v>0</v>
      </c>
      <c r="U196" s="52">
        <v>0</v>
      </c>
      <c r="V196" s="52">
        <v>0</v>
      </c>
      <c r="W196" s="52">
        <v>1</v>
      </c>
      <c r="X196" s="52">
        <v>1</v>
      </c>
      <c r="Y196" s="52">
        <v>0</v>
      </c>
      <c r="Z196" s="52">
        <v>1</v>
      </c>
      <c r="AA196" s="53">
        <v>1</v>
      </c>
      <c r="AB196" s="54">
        <v>2024</v>
      </c>
      <c r="AD196" s="94"/>
      <c r="AE196" s="94"/>
    </row>
    <row r="197" spans="1:31" s="67" customFormat="1" ht="47.25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69" t="s">
        <v>130</v>
      </c>
      <c r="S197" s="57" t="s">
        <v>38</v>
      </c>
      <c r="T197" s="2">
        <v>0</v>
      </c>
      <c r="U197" s="2">
        <v>0</v>
      </c>
      <c r="V197" s="2">
        <v>0</v>
      </c>
      <c r="W197" s="2">
        <v>2</v>
      </c>
      <c r="X197" s="2">
        <v>1</v>
      </c>
      <c r="Y197" s="2">
        <v>0</v>
      </c>
      <c r="Z197" s="2">
        <v>2</v>
      </c>
      <c r="AA197" s="43">
        <f>SUM(T197:Z197)</f>
        <v>5</v>
      </c>
      <c r="AB197" s="39">
        <v>2024</v>
      </c>
      <c r="AC197" s="93"/>
    </row>
    <row r="198" spans="1:31" s="67" customFormat="1" ht="63" customHeight="1" x14ac:dyDescent="0.25">
      <c r="A198" s="50"/>
      <c r="B198" s="50"/>
      <c r="C198" s="50"/>
      <c r="D198" s="50" t="s">
        <v>18</v>
      </c>
      <c r="E198" s="50" t="s">
        <v>24</v>
      </c>
      <c r="F198" s="50" t="s">
        <v>18</v>
      </c>
      <c r="G198" s="50" t="s">
        <v>43</v>
      </c>
      <c r="H198" s="50" t="s">
        <v>19</v>
      </c>
      <c r="I198" s="50" t="s">
        <v>24</v>
      </c>
      <c r="J198" s="50" t="s">
        <v>18</v>
      </c>
      <c r="K198" s="50" t="s">
        <v>18</v>
      </c>
      <c r="L198" s="50" t="s">
        <v>20</v>
      </c>
      <c r="M198" s="50" t="s">
        <v>18</v>
      </c>
      <c r="N198" s="50" t="s">
        <v>18</v>
      </c>
      <c r="O198" s="50" t="s">
        <v>18</v>
      </c>
      <c r="P198" s="50" t="s">
        <v>18</v>
      </c>
      <c r="Q198" s="50" t="s">
        <v>18</v>
      </c>
      <c r="R198" s="163" t="s">
        <v>131</v>
      </c>
      <c r="S198" s="54" t="s">
        <v>0</v>
      </c>
      <c r="T198" s="55">
        <f t="shared" ref="T198:Z198" si="69">T205+T213+T221+T229+T237</f>
        <v>123487.5</v>
      </c>
      <c r="U198" s="55">
        <f t="shared" si="69"/>
        <v>86341.199999999983</v>
      </c>
      <c r="V198" s="55">
        <f t="shared" si="69"/>
        <v>569.79999999999995</v>
      </c>
      <c r="W198" s="55">
        <f t="shared" si="69"/>
        <v>112.2</v>
      </c>
      <c r="X198" s="55">
        <f>X205+X213+X221+X229+X237</f>
        <v>33455.800000000003</v>
      </c>
      <c r="Y198" s="55">
        <f t="shared" si="69"/>
        <v>0</v>
      </c>
      <c r="Z198" s="55">
        <f t="shared" si="69"/>
        <v>0</v>
      </c>
      <c r="AA198" s="55">
        <f>SUM(T198:Z198)</f>
        <v>243966.5</v>
      </c>
      <c r="AB198" s="54">
        <v>2022</v>
      </c>
      <c r="AC198" s="98"/>
    </row>
    <row r="199" spans="1:31" s="67" customFormat="1" ht="19.899999999999999" hidden="1" customHeight="1" x14ac:dyDescent="0.25">
      <c r="A199" s="50"/>
      <c r="B199" s="50"/>
      <c r="C199" s="50"/>
      <c r="D199" s="50" t="s">
        <v>18</v>
      </c>
      <c r="E199" s="50" t="s">
        <v>24</v>
      </c>
      <c r="F199" s="50" t="s">
        <v>18</v>
      </c>
      <c r="G199" s="50" t="s">
        <v>43</v>
      </c>
      <c r="H199" s="50" t="s">
        <v>19</v>
      </c>
      <c r="I199" s="50" t="s">
        <v>24</v>
      </c>
      <c r="J199" s="50" t="s">
        <v>18</v>
      </c>
      <c r="K199" s="50" t="s">
        <v>18</v>
      </c>
      <c r="L199" s="50" t="s">
        <v>20</v>
      </c>
      <c r="M199" s="50" t="s">
        <v>37</v>
      </c>
      <c r="N199" s="50" t="s">
        <v>18</v>
      </c>
      <c r="O199" s="50" t="s">
        <v>20</v>
      </c>
      <c r="P199" s="50" t="s">
        <v>19</v>
      </c>
      <c r="Q199" s="50" t="s">
        <v>39</v>
      </c>
      <c r="R199" s="163"/>
      <c r="S199" s="51" t="s">
        <v>0</v>
      </c>
      <c r="T199" s="1">
        <f t="shared" ref="T199:Z199" si="70">T207+T215+T223+T231</f>
        <v>0</v>
      </c>
      <c r="U199" s="1">
        <f t="shared" si="70"/>
        <v>18179.999999999996</v>
      </c>
      <c r="V199" s="1">
        <f t="shared" si="70"/>
        <v>0</v>
      </c>
      <c r="W199" s="1">
        <f t="shared" si="70"/>
        <v>0</v>
      </c>
      <c r="X199" s="1">
        <f t="shared" si="70"/>
        <v>5301.5</v>
      </c>
      <c r="Y199" s="1">
        <f t="shared" si="70"/>
        <v>0</v>
      </c>
      <c r="Z199" s="1">
        <f t="shared" si="70"/>
        <v>0</v>
      </c>
      <c r="AA199" s="55">
        <f>T199+U199+V199+W199+X199+Y199</f>
        <v>23481.499999999996</v>
      </c>
      <c r="AB199" s="54">
        <v>2023</v>
      </c>
      <c r="AC199" s="93"/>
    </row>
    <row r="200" spans="1:31" s="67" customFormat="1" ht="19.899999999999999" hidden="1" customHeight="1" x14ac:dyDescent="0.25">
      <c r="A200" s="50"/>
      <c r="B200" s="50"/>
      <c r="C200" s="50"/>
      <c r="D200" s="50" t="s">
        <v>18</v>
      </c>
      <c r="E200" s="50" t="s">
        <v>24</v>
      </c>
      <c r="F200" s="50" t="s">
        <v>18</v>
      </c>
      <c r="G200" s="50" t="s">
        <v>43</v>
      </c>
      <c r="H200" s="50" t="s">
        <v>19</v>
      </c>
      <c r="I200" s="50" t="s">
        <v>24</v>
      </c>
      <c r="J200" s="50" t="s">
        <v>18</v>
      </c>
      <c r="K200" s="50" t="s">
        <v>18</v>
      </c>
      <c r="L200" s="50" t="s">
        <v>20</v>
      </c>
      <c r="M200" s="50" t="s">
        <v>18</v>
      </c>
      <c r="N200" s="50" t="s">
        <v>18</v>
      </c>
      <c r="O200" s="50" t="s">
        <v>18</v>
      </c>
      <c r="P200" s="50" t="s">
        <v>18</v>
      </c>
      <c r="Q200" s="50" t="s">
        <v>18</v>
      </c>
      <c r="R200" s="163"/>
      <c r="S200" s="51" t="s">
        <v>0</v>
      </c>
      <c r="T200" s="1">
        <f t="shared" ref="T200:Z200" si="71">T209+T217+T225+T233</f>
        <v>0</v>
      </c>
      <c r="U200" s="1">
        <f t="shared" si="71"/>
        <v>896.59999999999991</v>
      </c>
      <c r="V200" s="1">
        <f t="shared" si="71"/>
        <v>569.79999999999995</v>
      </c>
      <c r="W200" s="1">
        <f t="shared" si="71"/>
        <v>112.2</v>
      </c>
      <c r="X200" s="1">
        <f t="shared" si="71"/>
        <v>2976.1</v>
      </c>
      <c r="Y200" s="1">
        <f t="shared" si="71"/>
        <v>0</v>
      </c>
      <c r="Z200" s="1">
        <f t="shared" si="71"/>
        <v>0</v>
      </c>
      <c r="AA200" s="55">
        <f>T200+U200+V200+W200+X200+Y200</f>
        <v>4554.7</v>
      </c>
      <c r="AB200" s="54">
        <v>2023</v>
      </c>
      <c r="AC200" s="93"/>
    </row>
    <row r="201" spans="1:31" s="67" customFormat="1" ht="63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69" t="s">
        <v>177</v>
      </c>
      <c r="S201" s="57" t="s">
        <v>52</v>
      </c>
      <c r="T201" s="3">
        <f>T241</f>
        <v>58.6</v>
      </c>
      <c r="U201" s="3">
        <f t="shared" ref="U201:Z201" si="72">U241+U234+U226+U218+U210</f>
        <v>38.200000000000003</v>
      </c>
      <c r="V201" s="3">
        <f t="shared" si="72"/>
        <v>0</v>
      </c>
      <c r="W201" s="3">
        <f t="shared" si="72"/>
        <v>0</v>
      </c>
      <c r="X201" s="3">
        <f>X241+X234+X226+X218+X210</f>
        <v>9.3000000000000007</v>
      </c>
      <c r="Y201" s="3">
        <f t="shared" si="72"/>
        <v>0</v>
      </c>
      <c r="Z201" s="3">
        <f t="shared" si="72"/>
        <v>0</v>
      </c>
      <c r="AA201" s="6">
        <f>SUM(T201:Z201)</f>
        <v>106.10000000000001</v>
      </c>
      <c r="AB201" s="39">
        <v>2022</v>
      </c>
      <c r="AC201" s="93"/>
    </row>
    <row r="202" spans="1:31" s="67" customFormat="1" ht="31.15" hidden="1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70" t="s">
        <v>51</v>
      </c>
      <c r="S202" s="57"/>
      <c r="T202" s="3">
        <f>T242</f>
        <v>28</v>
      </c>
      <c r="U202" s="3"/>
      <c r="V202" s="3"/>
      <c r="W202" s="3"/>
      <c r="X202" s="3"/>
      <c r="Y202" s="3"/>
      <c r="Z202" s="3"/>
      <c r="AA202" s="6"/>
      <c r="AB202" s="39">
        <v>2020</v>
      </c>
      <c r="AC202" s="93"/>
    </row>
    <row r="203" spans="1:31" s="67" customFormat="1" ht="31.5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71" t="s">
        <v>178</v>
      </c>
      <c r="S203" s="57" t="s">
        <v>38</v>
      </c>
      <c r="T203" s="42">
        <f>T242</f>
        <v>28</v>
      </c>
      <c r="U203" s="42">
        <f>U211+U219+U227+U235+U242</f>
        <v>20</v>
      </c>
      <c r="V203" s="42">
        <f>V211+V219+V227+V235</f>
        <v>0</v>
      </c>
      <c r="W203" s="42">
        <f>W211+W219+W227+W235</f>
        <v>0</v>
      </c>
      <c r="X203" s="42">
        <f>X211+X219+X227+X235</f>
        <v>7</v>
      </c>
      <c r="Y203" s="42">
        <f>Y211+Y219+Y227+Y235</f>
        <v>0</v>
      </c>
      <c r="Z203" s="42">
        <f>Z211+Z219+Z227+Z235</f>
        <v>0</v>
      </c>
      <c r="AA203" s="45">
        <f>SUM(T203:Z203)</f>
        <v>55</v>
      </c>
      <c r="AB203" s="39">
        <v>2022</v>
      </c>
      <c r="AC203" s="93"/>
      <c r="AD203" s="72"/>
    </row>
    <row r="204" spans="1:31" s="123" customFormat="1" ht="47.25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69" t="s">
        <v>317</v>
      </c>
      <c r="S204" s="48" t="s">
        <v>38</v>
      </c>
      <c r="T204" s="42">
        <v>0</v>
      </c>
      <c r="U204" s="42">
        <f>U212+U220+U228+U236</f>
        <v>20</v>
      </c>
      <c r="V204" s="42">
        <f>V212+V220+V228+V236</f>
        <v>14</v>
      </c>
      <c r="W204" s="42">
        <f>W212+W220+W228+W236</f>
        <v>2</v>
      </c>
      <c r="X204" s="42">
        <f>X212+X220+X228+X236</f>
        <v>7</v>
      </c>
      <c r="Y204" s="42">
        <v>0</v>
      </c>
      <c r="Z204" s="42">
        <v>0</v>
      </c>
      <c r="AA204" s="45">
        <f>SUM(T204:Z204)</f>
        <v>43</v>
      </c>
      <c r="AB204" s="39">
        <v>2022</v>
      </c>
      <c r="AC204" s="101"/>
      <c r="AD204" s="122"/>
    </row>
    <row r="205" spans="1:31" s="67" customFormat="1" x14ac:dyDescent="0.25">
      <c r="A205" s="50" t="s">
        <v>18</v>
      </c>
      <c r="B205" s="50" t="s">
        <v>18</v>
      </c>
      <c r="C205" s="50" t="s">
        <v>22</v>
      </c>
      <c r="D205" s="50" t="s">
        <v>18</v>
      </c>
      <c r="E205" s="50" t="s">
        <v>24</v>
      </c>
      <c r="F205" s="50" t="s">
        <v>18</v>
      </c>
      <c r="G205" s="50" t="s">
        <v>43</v>
      </c>
      <c r="H205" s="50" t="s">
        <v>19</v>
      </c>
      <c r="I205" s="50" t="s">
        <v>24</v>
      </c>
      <c r="J205" s="50" t="s">
        <v>18</v>
      </c>
      <c r="K205" s="50" t="s">
        <v>18</v>
      </c>
      <c r="L205" s="50" t="s">
        <v>20</v>
      </c>
      <c r="M205" s="50" t="s">
        <v>18</v>
      </c>
      <c r="N205" s="50" t="s">
        <v>18</v>
      </c>
      <c r="O205" s="50" t="s">
        <v>18</v>
      </c>
      <c r="P205" s="50" t="s">
        <v>18</v>
      </c>
      <c r="Q205" s="50" t="s">
        <v>18</v>
      </c>
      <c r="R205" s="163" t="s">
        <v>131</v>
      </c>
      <c r="S205" s="154" t="s">
        <v>0</v>
      </c>
      <c r="T205" s="55">
        <f>SUM(T207:T209)</f>
        <v>0</v>
      </c>
      <c r="U205" s="55">
        <f>SUM(U206:U209)</f>
        <v>26850.299999999996</v>
      </c>
      <c r="V205" s="55">
        <f t="shared" ref="V205:Z205" si="73">SUM(V206:V209)</f>
        <v>48.800000000000011</v>
      </c>
      <c r="W205" s="55">
        <f t="shared" si="73"/>
        <v>112.2</v>
      </c>
      <c r="X205" s="55">
        <f t="shared" si="73"/>
        <v>9383</v>
      </c>
      <c r="Y205" s="55">
        <f t="shared" si="73"/>
        <v>0</v>
      </c>
      <c r="Z205" s="55">
        <f t="shared" si="73"/>
        <v>0</v>
      </c>
      <c r="AA205" s="55">
        <f>SUM(T205:Z205)</f>
        <v>36394.299999999996</v>
      </c>
      <c r="AB205" s="54">
        <v>2022</v>
      </c>
      <c r="AC205" s="93"/>
      <c r="AD205" s="72"/>
    </row>
    <row r="206" spans="1:31" s="67" customFormat="1" x14ac:dyDescent="0.25">
      <c r="A206" s="50" t="s">
        <v>18</v>
      </c>
      <c r="B206" s="50" t="s">
        <v>18</v>
      </c>
      <c r="C206" s="50" t="s">
        <v>22</v>
      </c>
      <c r="D206" s="50" t="s">
        <v>18</v>
      </c>
      <c r="E206" s="50" t="s">
        <v>24</v>
      </c>
      <c r="F206" s="50" t="s">
        <v>18</v>
      </c>
      <c r="G206" s="50" t="s">
        <v>43</v>
      </c>
      <c r="H206" s="50" t="s">
        <v>19</v>
      </c>
      <c r="I206" s="50" t="s">
        <v>24</v>
      </c>
      <c r="J206" s="50" t="s">
        <v>18</v>
      </c>
      <c r="K206" s="50" t="s">
        <v>18</v>
      </c>
      <c r="L206" s="50" t="s">
        <v>20</v>
      </c>
      <c r="M206" s="50" t="s">
        <v>19</v>
      </c>
      <c r="N206" s="50" t="s">
        <v>18</v>
      </c>
      <c r="O206" s="50" t="s">
        <v>169</v>
      </c>
      <c r="P206" s="50" t="s">
        <v>21</v>
      </c>
      <c r="Q206" s="50" t="s">
        <v>25</v>
      </c>
      <c r="R206" s="163"/>
      <c r="S206" s="155"/>
      <c r="T206" s="1">
        <v>0</v>
      </c>
      <c r="U206" s="1">
        <f>16800.1+4329.1</f>
        <v>21129.199999999997</v>
      </c>
      <c r="V206" s="1">
        <v>0</v>
      </c>
      <c r="W206" s="1">
        <v>0</v>
      </c>
      <c r="X206" s="1">
        <f>5758.9-57.6</f>
        <v>5701.2999999999993</v>
      </c>
      <c r="Y206" s="1">
        <v>0</v>
      </c>
      <c r="Z206" s="1">
        <v>0</v>
      </c>
      <c r="AA206" s="55">
        <f t="shared" ref="AA206" si="74">SUM(T206:Z206)</f>
        <v>26830.499999999996</v>
      </c>
      <c r="AB206" s="54">
        <v>2022</v>
      </c>
      <c r="AC206" s="93"/>
      <c r="AD206" s="72"/>
    </row>
    <row r="207" spans="1:31" s="67" customFormat="1" x14ac:dyDescent="0.25">
      <c r="A207" s="50" t="s">
        <v>18</v>
      </c>
      <c r="B207" s="50" t="s">
        <v>18</v>
      </c>
      <c r="C207" s="50" t="s">
        <v>22</v>
      </c>
      <c r="D207" s="50" t="s">
        <v>18</v>
      </c>
      <c r="E207" s="50" t="s">
        <v>24</v>
      </c>
      <c r="F207" s="50" t="s">
        <v>18</v>
      </c>
      <c r="G207" s="50" t="s">
        <v>43</v>
      </c>
      <c r="H207" s="50" t="s">
        <v>19</v>
      </c>
      <c r="I207" s="50" t="s">
        <v>24</v>
      </c>
      <c r="J207" s="50" t="s">
        <v>18</v>
      </c>
      <c r="K207" s="50" t="s">
        <v>18</v>
      </c>
      <c r="L207" s="50" t="s">
        <v>20</v>
      </c>
      <c r="M207" s="50" t="s">
        <v>37</v>
      </c>
      <c r="N207" s="50" t="s">
        <v>18</v>
      </c>
      <c r="O207" s="50" t="s">
        <v>169</v>
      </c>
      <c r="P207" s="50" t="s">
        <v>21</v>
      </c>
      <c r="Q207" s="50" t="s">
        <v>25</v>
      </c>
      <c r="R207" s="163"/>
      <c r="S207" s="155"/>
      <c r="T207" s="1">
        <v>0</v>
      </c>
      <c r="U207" s="1">
        <f>4199.9+2224.5-291-681.9</f>
        <v>5451.5</v>
      </c>
      <c r="V207" s="1">
        <f>2529.4-2529.4</f>
        <v>0</v>
      </c>
      <c r="W207" s="1">
        <f>2800-2800</f>
        <v>0</v>
      </c>
      <c r="X207" s="1">
        <f>1439.7-14.3</f>
        <v>1425.4</v>
      </c>
      <c r="Y207" s="1">
        <f t="shared" ref="Y207:Z207" si="75">2800-2800</f>
        <v>0</v>
      </c>
      <c r="Z207" s="1">
        <f t="shared" si="75"/>
        <v>0</v>
      </c>
      <c r="AA207" s="55">
        <f>SUM(T207:Z207)</f>
        <v>6876.9</v>
      </c>
      <c r="AB207" s="54">
        <v>2022</v>
      </c>
      <c r="AC207" s="93"/>
      <c r="AD207" s="72"/>
    </row>
    <row r="208" spans="1:31" s="67" customFormat="1" x14ac:dyDescent="0.25">
      <c r="A208" s="50" t="s">
        <v>18</v>
      </c>
      <c r="B208" s="50" t="s">
        <v>18</v>
      </c>
      <c r="C208" s="50" t="s">
        <v>22</v>
      </c>
      <c r="D208" s="50" t="s">
        <v>18</v>
      </c>
      <c r="E208" s="50" t="s">
        <v>24</v>
      </c>
      <c r="F208" s="50" t="s">
        <v>18</v>
      </c>
      <c r="G208" s="50" t="s">
        <v>43</v>
      </c>
      <c r="H208" s="50" t="s">
        <v>19</v>
      </c>
      <c r="I208" s="50" t="s">
        <v>24</v>
      </c>
      <c r="J208" s="50" t="s">
        <v>18</v>
      </c>
      <c r="K208" s="50" t="s">
        <v>18</v>
      </c>
      <c r="L208" s="50" t="s">
        <v>20</v>
      </c>
      <c r="M208" s="50" t="s">
        <v>18</v>
      </c>
      <c r="N208" s="50" t="s">
        <v>18</v>
      </c>
      <c r="O208" s="50" t="s">
        <v>169</v>
      </c>
      <c r="P208" s="50" t="s">
        <v>21</v>
      </c>
      <c r="Q208" s="50" t="s">
        <v>25</v>
      </c>
      <c r="R208" s="163"/>
      <c r="S208" s="155"/>
      <c r="T208" s="1">
        <v>0</v>
      </c>
      <c r="U208" s="1">
        <v>0</v>
      </c>
      <c r="V208" s="1">
        <v>0</v>
      </c>
      <c r="W208" s="1">
        <v>0</v>
      </c>
      <c r="X208" s="1">
        <f>154.1-24.5</f>
        <v>129.6</v>
      </c>
      <c r="Y208" s="1">
        <v>0</v>
      </c>
      <c r="Z208" s="1">
        <v>0</v>
      </c>
      <c r="AA208" s="55">
        <f>SUM(T208:Z208)</f>
        <v>129.6</v>
      </c>
      <c r="AB208" s="54">
        <v>2022</v>
      </c>
      <c r="AC208" s="93"/>
      <c r="AD208" s="72"/>
    </row>
    <row r="209" spans="1:30" s="67" customFormat="1" x14ac:dyDescent="0.25">
      <c r="A209" s="50" t="s">
        <v>18</v>
      </c>
      <c r="B209" s="50" t="s">
        <v>18</v>
      </c>
      <c r="C209" s="50" t="s">
        <v>22</v>
      </c>
      <c r="D209" s="50" t="s">
        <v>18</v>
      </c>
      <c r="E209" s="50" t="s">
        <v>24</v>
      </c>
      <c r="F209" s="50" t="s">
        <v>18</v>
      </c>
      <c r="G209" s="50" t="s">
        <v>43</v>
      </c>
      <c r="H209" s="50" t="s">
        <v>19</v>
      </c>
      <c r="I209" s="50" t="s">
        <v>24</v>
      </c>
      <c r="J209" s="50" t="s">
        <v>18</v>
      </c>
      <c r="K209" s="50" t="s">
        <v>18</v>
      </c>
      <c r="L209" s="50" t="s">
        <v>20</v>
      </c>
      <c r="M209" s="50" t="s">
        <v>43</v>
      </c>
      <c r="N209" s="50" t="s">
        <v>43</v>
      </c>
      <c r="O209" s="50" t="s">
        <v>43</v>
      </c>
      <c r="P209" s="50" t="s">
        <v>43</v>
      </c>
      <c r="Q209" s="50" t="s">
        <v>43</v>
      </c>
      <c r="R209" s="163"/>
      <c r="S209" s="156"/>
      <c r="T209" s="1">
        <v>0</v>
      </c>
      <c r="U209" s="1">
        <f>164.3-164.3+200+449.4+50.8-371.3-59.3</f>
        <v>269.59999999999991</v>
      </c>
      <c r="V209" s="1">
        <f>270.6-221.8</f>
        <v>48.800000000000011</v>
      </c>
      <c r="W209" s="1">
        <f>0+160-47.8</f>
        <v>112.2</v>
      </c>
      <c r="X209" s="1">
        <f>50+2011.7+65</f>
        <v>2126.6999999999998</v>
      </c>
      <c r="Y209" s="1">
        <v>0</v>
      </c>
      <c r="Z209" s="1">
        <v>0</v>
      </c>
      <c r="AA209" s="55">
        <f t="shared" ref="AA209" si="76">SUM(T209:Z209)</f>
        <v>2557.2999999999997</v>
      </c>
      <c r="AB209" s="54">
        <v>2022</v>
      </c>
      <c r="AC209" s="93"/>
      <c r="AD209" s="72"/>
    </row>
    <row r="210" spans="1:30" s="67" customFormat="1" ht="63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69" t="s">
        <v>260</v>
      </c>
      <c r="S210" s="57" t="s">
        <v>42</v>
      </c>
      <c r="T210" s="3">
        <v>0</v>
      </c>
      <c r="U210" s="3">
        <v>11.6</v>
      </c>
      <c r="V210" s="3">
        <f>6.8-6.8</f>
        <v>0</v>
      </c>
      <c r="W210" s="3">
        <v>0</v>
      </c>
      <c r="X210" s="3">
        <f>2.2+0.5</f>
        <v>2.7</v>
      </c>
      <c r="Y210" s="3">
        <v>0</v>
      </c>
      <c r="Z210" s="3">
        <v>0</v>
      </c>
      <c r="AA210" s="6">
        <f>SUM(T210:Z210)</f>
        <v>14.3</v>
      </c>
      <c r="AB210" s="39">
        <v>2022</v>
      </c>
      <c r="AC210" s="93"/>
    </row>
    <row r="211" spans="1:30" s="67" customFormat="1" ht="47.25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71" t="s">
        <v>261</v>
      </c>
      <c r="S211" s="57" t="s">
        <v>38</v>
      </c>
      <c r="T211" s="42">
        <v>0</v>
      </c>
      <c r="U211" s="42">
        <v>8</v>
      </c>
      <c r="V211" s="42">
        <f>3-3</f>
        <v>0</v>
      </c>
      <c r="W211" s="42">
        <v>0</v>
      </c>
      <c r="X211" s="42">
        <v>2</v>
      </c>
      <c r="Y211" s="42">
        <v>0</v>
      </c>
      <c r="Z211" s="42">
        <v>0</v>
      </c>
      <c r="AA211" s="45">
        <f>SUM(T211:Z211)</f>
        <v>10</v>
      </c>
      <c r="AB211" s="39">
        <v>2022</v>
      </c>
      <c r="AC211" s="93"/>
      <c r="AD211" s="72"/>
    </row>
    <row r="212" spans="1:30" s="123" customFormat="1" ht="63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69" t="s">
        <v>337</v>
      </c>
      <c r="S212" s="48" t="s">
        <v>38</v>
      </c>
      <c r="T212" s="42">
        <v>0</v>
      </c>
      <c r="U212" s="42">
        <v>8</v>
      </c>
      <c r="V212" s="42">
        <v>5</v>
      </c>
      <c r="W212" s="42">
        <v>2</v>
      </c>
      <c r="X212" s="42">
        <v>2</v>
      </c>
      <c r="Y212" s="42">
        <v>0</v>
      </c>
      <c r="Z212" s="42">
        <v>0</v>
      </c>
      <c r="AA212" s="45">
        <f>SUM(T212:Z212)</f>
        <v>17</v>
      </c>
      <c r="AB212" s="39">
        <v>2022</v>
      </c>
      <c r="AC212" s="101"/>
      <c r="AD212" s="122"/>
    </row>
    <row r="213" spans="1:30" s="67" customFormat="1" x14ac:dyDescent="0.25">
      <c r="A213" s="50" t="s">
        <v>18</v>
      </c>
      <c r="B213" s="50" t="s">
        <v>18</v>
      </c>
      <c r="C213" s="50" t="s">
        <v>24</v>
      </c>
      <c r="D213" s="50" t="s">
        <v>18</v>
      </c>
      <c r="E213" s="50" t="s">
        <v>24</v>
      </c>
      <c r="F213" s="50" t="s">
        <v>18</v>
      </c>
      <c r="G213" s="50" t="s">
        <v>43</v>
      </c>
      <c r="H213" s="50" t="s">
        <v>19</v>
      </c>
      <c r="I213" s="50" t="s">
        <v>24</v>
      </c>
      <c r="J213" s="50" t="s">
        <v>18</v>
      </c>
      <c r="K213" s="50" t="s">
        <v>18</v>
      </c>
      <c r="L213" s="50" t="s">
        <v>20</v>
      </c>
      <c r="M213" s="50" t="s">
        <v>18</v>
      </c>
      <c r="N213" s="50" t="s">
        <v>18</v>
      </c>
      <c r="O213" s="50" t="s">
        <v>18</v>
      </c>
      <c r="P213" s="50" t="s">
        <v>18</v>
      </c>
      <c r="Q213" s="50" t="s">
        <v>18</v>
      </c>
      <c r="R213" s="163" t="s">
        <v>131</v>
      </c>
      <c r="S213" s="154" t="s">
        <v>0</v>
      </c>
      <c r="T213" s="55">
        <f>T215+T217</f>
        <v>0</v>
      </c>
      <c r="U213" s="55">
        <f>SUM(U214:U217)</f>
        <v>22882.399999999998</v>
      </c>
      <c r="V213" s="55">
        <f t="shared" ref="V213:X213" si="77">SUM(V214:V217)</f>
        <v>0</v>
      </c>
      <c r="W213" s="55">
        <f t="shared" si="77"/>
        <v>0</v>
      </c>
      <c r="X213" s="55">
        <f t="shared" si="77"/>
        <v>13894.7</v>
      </c>
      <c r="Y213" s="55">
        <f t="shared" ref="Y213:Z213" si="78">SUM(Y214:Y217)</f>
        <v>0</v>
      </c>
      <c r="Z213" s="55">
        <f t="shared" si="78"/>
        <v>0</v>
      </c>
      <c r="AA213" s="55">
        <f>SUM(T213:Z213)</f>
        <v>36777.1</v>
      </c>
      <c r="AB213" s="54">
        <v>2022</v>
      </c>
      <c r="AC213" s="93"/>
    </row>
    <row r="214" spans="1:30" s="67" customFormat="1" x14ac:dyDescent="0.25">
      <c r="A214" s="50" t="s">
        <v>18</v>
      </c>
      <c r="B214" s="50" t="s">
        <v>18</v>
      </c>
      <c r="C214" s="50" t="s">
        <v>24</v>
      </c>
      <c r="D214" s="50" t="s">
        <v>18</v>
      </c>
      <c r="E214" s="50" t="s">
        <v>24</v>
      </c>
      <c r="F214" s="50" t="s">
        <v>18</v>
      </c>
      <c r="G214" s="50" t="s">
        <v>43</v>
      </c>
      <c r="H214" s="50" t="s">
        <v>19</v>
      </c>
      <c r="I214" s="50" t="s">
        <v>24</v>
      </c>
      <c r="J214" s="50" t="s">
        <v>18</v>
      </c>
      <c r="K214" s="50" t="s">
        <v>18</v>
      </c>
      <c r="L214" s="50" t="s">
        <v>20</v>
      </c>
      <c r="M214" s="50" t="s">
        <v>19</v>
      </c>
      <c r="N214" s="50" t="s">
        <v>18</v>
      </c>
      <c r="O214" s="50" t="s">
        <v>169</v>
      </c>
      <c r="P214" s="50" t="s">
        <v>21</v>
      </c>
      <c r="Q214" s="50" t="s">
        <v>25</v>
      </c>
      <c r="R214" s="163"/>
      <c r="S214" s="155"/>
      <c r="T214" s="1">
        <f>T217+T218</f>
        <v>0</v>
      </c>
      <c r="U214" s="1">
        <f>14400.1+2862.7</f>
        <v>17262.8</v>
      </c>
      <c r="V214" s="1">
        <v>0</v>
      </c>
      <c r="W214" s="1">
        <v>0</v>
      </c>
      <c r="X214" s="1">
        <v>11517.2</v>
      </c>
      <c r="Y214" s="1">
        <v>0</v>
      </c>
      <c r="Z214" s="1">
        <v>0</v>
      </c>
      <c r="AA214" s="55">
        <f t="shared" ref="AA214:AA217" si="79">SUM(T214:Z214)</f>
        <v>28780</v>
      </c>
      <c r="AB214" s="54">
        <v>2022</v>
      </c>
      <c r="AC214" s="93"/>
    </row>
    <row r="215" spans="1:30" s="67" customFormat="1" x14ac:dyDescent="0.25">
      <c r="A215" s="50" t="s">
        <v>18</v>
      </c>
      <c r="B215" s="50" t="s">
        <v>18</v>
      </c>
      <c r="C215" s="50" t="s">
        <v>24</v>
      </c>
      <c r="D215" s="50" t="s">
        <v>18</v>
      </c>
      <c r="E215" s="50" t="s">
        <v>24</v>
      </c>
      <c r="F215" s="50" t="s">
        <v>18</v>
      </c>
      <c r="G215" s="50" t="s">
        <v>43</v>
      </c>
      <c r="H215" s="50" t="s">
        <v>19</v>
      </c>
      <c r="I215" s="50" t="s">
        <v>24</v>
      </c>
      <c r="J215" s="50" t="s">
        <v>18</v>
      </c>
      <c r="K215" s="50" t="s">
        <v>18</v>
      </c>
      <c r="L215" s="50" t="s">
        <v>20</v>
      </c>
      <c r="M215" s="50" t="s">
        <v>37</v>
      </c>
      <c r="N215" s="50" t="s">
        <v>18</v>
      </c>
      <c r="O215" s="50" t="s">
        <v>169</v>
      </c>
      <c r="P215" s="50" t="s">
        <v>21</v>
      </c>
      <c r="Q215" s="50" t="s">
        <v>25</v>
      </c>
      <c r="R215" s="163"/>
      <c r="S215" s="155"/>
      <c r="T215" s="1">
        <v>0</v>
      </c>
      <c r="U215" s="1">
        <f>3599.9+2545.7-290-443.1</f>
        <v>5412.5</v>
      </c>
      <c r="V215" s="1">
        <f>1096.5-1096.5</f>
        <v>0</v>
      </c>
      <c r="W215" s="1">
        <f>1500-1500</f>
        <v>0</v>
      </c>
      <c r="X215" s="1">
        <f>2879.8-831.9</f>
        <v>2047.9</v>
      </c>
      <c r="Y215" s="1">
        <f>1500-1500</f>
        <v>0</v>
      </c>
      <c r="Z215" s="1">
        <f>1500-1500</f>
        <v>0</v>
      </c>
      <c r="AA215" s="55">
        <f t="shared" si="79"/>
        <v>7460.4</v>
      </c>
      <c r="AB215" s="54">
        <v>2022</v>
      </c>
      <c r="AC215" s="93"/>
    </row>
    <row r="216" spans="1:30" s="67" customFormat="1" x14ac:dyDescent="0.25">
      <c r="A216" s="50" t="s">
        <v>18</v>
      </c>
      <c r="B216" s="50" t="s">
        <v>18</v>
      </c>
      <c r="C216" s="50" t="s">
        <v>24</v>
      </c>
      <c r="D216" s="50" t="s">
        <v>18</v>
      </c>
      <c r="E216" s="50" t="s">
        <v>24</v>
      </c>
      <c r="F216" s="50" t="s">
        <v>18</v>
      </c>
      <c r="G216" s="50" t="s">
        <v>43</v>
      </c>
      <c r="H216" s="50" t="s">
        <v>19</v>
      </c>
      <c r="I216" s="50" t="s">
        <v>24</v>
      </c>
      <c r="J216" s="50" t="s">
        <v>18</v>
      </c>
      <c r="K216" s="50" t="s">
        <v>18</v>
      </c>
      <c r="L216" s="50" t="s">
        <v>20</v>
      </c>
      <c r="M216" s="50" t="s">
        <v>18</v>
      </c>
      <c r="N216" s="50" t="s">
        <v>18</v>
      </c>
      <c r="O216" s="50" t="s">
        <v>169</v>
      </c>
      <c r="P216" s="50" t="s">
        <v>21</v>
      </c>
      <c r="Q216" s="50" t="s">
        <v>25</v>
      </c>
      <c r="R216" s="163"/>
      <c r="S216" s="155"/>
      <c r="T216" s="1">
        <v>0</v>
      </c>
      <c r="U216" s="1">
        <v>0</v>
      </c>
      <c r="V216" s="1">
        <v>0</v>
      </c>
      <c r="W216" s="1">
        <f>1500-1500</f>
        <v>0</v>
      </c>
      <c r="X216" s="1">
        <v>329.6</v>
      </c>
      <c r="Y216" s="1">
        <f>1500-1500</f>
        <v>0</v>
      </c>
      <c r="Z216" s="1">
        <f>1500-1500</f>
        <v>0</v>
      </c>
      <c r="AA216" s="55">
        <f t="shared" si="79"/>
        <v>329.6</v>
      </c>
      <c r="AB216" s="54">
        <v>2022</v>
      </c>
      <c r="AC216" s="93"/>
    </row>
    <row r="217" spans="1:30" s="67" customFormat="1" x14ac:dyDescent="0.25">
      <c r="A217" s="50" t="s">
        <v>18</v>
      </c>
      <c r="B217" s="50" t="s">
        <v>18</v>
      </c>
      <c r="C217" s="50" t="s">
        <v>24</v>
      </c>
      <c r="D217" s="50" t="s">
        <v>18</v>
      </c>
      <c r="E217" s="50" t="s">
        <v>24</v>
      </c>
      <c r="F217" s="50" t="s">
        <v>18</v>
      </c>
      <c r="G217" s="50" t="s">
        <v>43</v>
      </c>
      <c r="H217" s="50" t="s">
        <v>19</v>
      </c>
      <c r="I217" s="50" t="s">
        <v>24</v>
      </c>
      <c r="J217" s="50" t="s">
        <v>18</v>
      </c>
      <c r="K217" s="50" t="s">
        <v>18</v>
      </c>
      <c r="L217" s="50" t="s">
        <v>20</v>
      </c>
      <c r="M217" s="50" t="s">
        <v>43</v>
      </c>
      <c r="N217" s="50" t="s">
        <v>43</v>
      </c>
      <c r="O217" s="50" t="s">
        <v>43</v>
      </c>
      <c r="P217" s="50" t="s">
        <v>43</v>
      </c>
      <c r="Q217" s="50" t="s">
        <v>43</v>
      </c>
      <c r="R217" s="163"/>
      <c r="S217" s="156"/>
      <c r="T217" s="1">
        <v>0</v>
      </c>
      <c r="U217" s="1">
        <f>145-145+100+385.2+30.4-308.5</f>
        <v>207.10000000000002</v>
      </c>
      <c r="V217" s="1">
        <f>403.5-403.5</f>
        <v>0</v>
      </c>
      <c r="W217" s="1">
        <v>0</v>
      </c>
      <c r="X217" s="1">
        <v>0</v>
      </c>
      <c r="Y217" s="1">
        <v>0</v>
      </c>
      <c r="Z217" s="1">
        <v>0</v>
      </c>
      <c r="AA217" s="55">
        <f t="shared" si="79"/>
        <v>207.10000000000002</v>
      </c>
      <c r="AB217" s="54">
        <v>2019</v>
      </c>
      <c r="AC217" s="93"/>
    </row>
    <row r="218" spans="1:30" s="67" customFormat="1" ht="63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69" t="s">
        <v>262</v>
      </c>
      <c r="S218" s="57" t="s">
        <v>52</v>
      </c>
      <c r="T218" s="3">
        <v>0</v>
      </c>
      <c r="U218" s="3">
        <v>10.6</v>
      </c>
      <c r="V218" s="3">
        <f>3-3</f>
        <v>0</v>
      </c>
      <c r="W218" s="3">
        <v>0</v>
      </c>
      <c r="X218" s="3">
        <v>3.7</v>
      </c>
      <c r="Y218" s="3">
        <v>0</v>
      </c>
      <c r="Z218" s="3">
        <v>0</v>
      </c>
      <c r="AA218" s="6">
        <f>SUM(T218:Z218)</f>
        <v>14.3</v>
      </c>
      <c r="AB218" s="39">
        <v>2022</v>
      </c>
      <c r="AC218" s="93"/>
    </row>
    <row r="219" spans="1:30" s="67" customFormat="1" ht="47.25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71" t="s">
        <v>263</v>
      </c>
      <c r="S219" s="57" t="s">
        <v>38</v>
      </c>
      <c r="T219" s="42">
        <v>0</v>
      </c>
      <c r="U219" s="42">
        <v>4</v>
      </c>
      <c r="V219" s="42">
        <f>2-2</f>
        <v>0</v>
      </c>
      <c r="W219" s="42">
        <v>0</v>
      </c>
      <c r="X219" s="42">
        <v>3</v>
      </c>
      <c r="Y219" s="42">
        <v>0</v>
      </c>
      <c r="Z219" s="42">
        <v>0</v>
      </c>
      <c r="AA219" s="45">
        <f>SUM(T219:Z219)</f>
        <v>7</v>
      </c>
      <c r="AB219" s="39">
        <v>2022</v>
      </c>
      <c r="AC219" s="93"/>
      <c r="AD219" s="72"/>
    </row>
    <row r="220" spans="1:30" s="123" customFormat="1" ht="63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69" t="s">
        <v>270</v>
      </c>
      <c r="S220" s="48" t="s">
        <v>38</v>
      </c>
      <c r="T220" s="42">
        <v>0</v>
      </c>
      <c r="U220" s="42">
        <v>4</v>
      </c>
      <c r="V220" s="42">
        <v>0</v>
      </c>
      <c r="W220" s="42">
        <v>0</v>
      </c>
      <c r="X220" s="42">
        <v>3</v>
      </c>
      <c r="Y220" s="42">
        <v>0</v>
      </c>
      <c r="Z220" s="42">
        <v>0</v>
      </c>
      <c r="AA220" s="45">
        <f>SUM(T220:Z220)</f>
        <v>7</v>
      </c>
      <c r="AB220" s="39">
        <v>2022</v>
      </c>
      <c r="AC220" s="101"/>
      <c r="AD220" s="122"/>
    </row>
    <row r="221" spans="1:30" s="67" customFormat="1" x14ac:dyDescent="0.25">
      <c r="A221" s="50" t="s">
        <v>18</v>
      </c>
      <c r="B221" s="50" t="s">
        <v>18</v>
      </c>
      <c r="C221" s="50" t="s">
        <v>21</v>
      </c>
      <c r="D221" s="50" t="s">
        <v>18</v>
      </c>
      <c r="E221" s="50" t="s">
        <v>24</v>
      </c>
      <c r="F221" s="50" t="s">
        <v>18</v>
      </c>
      <c r="G221" s="50" t="s">
        <v>43</v>
      </c>
      <c r="H221" s="50" t="s">
        <v>19</v>
      </c>
      <c r="I221" s="50" t="s">
        <v>24</v>
      </c>
      <c r="J221" s="50" t="s">
        <v>18</v>
      </c>
      <c r="K221" s="50" t="s">
        <v>18</v>
      </c>
      <c r="L221" s="50" t="s">
        <v>20</v>
      </c>
      <c r="M221" s="50" t="s">
        <v>18</v>
      </c>
      <c r="N221" s="50" t="s">
        <v>18</v>
      </c>
      <c r="O221" s="50" t="s">
        <v>18</v>
      </c>
      <c r="P221" s="50" t="s">
        <v>18</v>
      </c>
      <c r="Q221" s="50" t="s">
        <v>18</v>
      </c>
      <c r="R221" s="163" t="s">
        <v>131</v>
      </c>
      <c r="S221" s="154" t="s">
        <v>0</v>
      </c>
      <c r="T221" s="55">
        <f>T223+T225</f>
        <v>0</v>
      </c>
      <c r="U221" s="55">
        <f>SUM(U222:U225)</f>
        <v>25870.1</v>
      </c>
      <c r="V221" s="55">
        <f t="shared" ref="V221:X221" si="80">SUM(V222:V225)</f>
        <v>30</v>
      </c>
      <c r="W221" s="55">
        <f t="shared" si="80"/>
        <v>0</v>
      </c>
      <c r="X221" s="55">
        <f t="shared" si="80"/>
        <v>5293</v>
      </c>
      <c r="Y221" s="55">
        <f t="shared" ref="Y221:Z221" si="81">SUM(Y222:Y225)</f>
        <v>0</v>
      </c>
      <c r="Z221" s="55">
        <f t="shared" si="81"/>
        <v>0</v>
      </c>
      <c r="AA221" s="55">
        <f>SUM(T221:Z221)</f>
        <v>31193.1</v>
      </c>
      <c r="AB221" s="54">
        <v>2022</v>
      </c>
      <c r="AC221" s="93"/>
    </row>
    <row r="222" spans="1:30" s="67" customFormat="1" x14ac:dyDescent="0.25">
      <c r="A222" s="50" t="s">
        <v>18</v>
      </c>
      <c r="B222" s="50" t="s">
        <v>18</v>
      </c>
      <c r="C222" s="50" t="s">
        <v>21</v>
      </c>
      <c r="D222" s="50" t="s">
        <v>18</v>
      </c>
      <c r="E222" s="50" t="s">
        <v>24</v>
      </c>
      <c r="F222" s="50" t="s">
        <v>18</v>
      </c>
      <c r="G222" s="50" t="s">
        <v>43</v>
      </c>
      <c r="H222" s="50" t="s">
        <v>19</v>
      </c>
      <c r="I222" s="50" t="s">
        <v>24</v>
      </c>
      <c r="J222" s="50" t="s">
        <v>18</v>
      </c>
      <c r="K222" s="50" t="s">
        <v>18</v>
      </c>
      <c r="L222" s="50" t="s">
        <v>20</v>
      </c>
      <c r="M222" s="50" t="s">
        <v>19</v>
      </c>
      <c r="N222" s="50" t="s">
        <v>18</v>
      </c>
      <c r="O222" s="50" t="s">
        <v>169</v>
      </c>
      <c r="P222" s="50" t="s">
        <v>21</v>
      </c>
      <c r="Q222" s="50" t="s">
        <v>25</v>
      </c>
      <c r="R222" s="163"/>
      <c r="S222" s="155"/>
      <c r="T222" s="1">
        <v>0</v>
      </c>
      <c r="U222" s="1">
        <f>16800.1+3497.2</f>
        <v>20297.3</v>
      </c>
      <c r="V222" s="1">
        <v>0</v>
      </c>
      <c r="W222" s="1">
        <v>0</v>
      </c>
      <c r="X222" s="1">
        <f>5566.2-1385.8</f>
        <v>4180.3999999999996</v>
      </c>
      <c r="Y222" s="1">
        <v>0</v>
      </c>
      <c r="Z222" s="1">
        <v>0</v>
      </c>
      <c r="AA222" s="55">
        <f t="shared" ref="AA222:AA224" si="82">SUM(T222:Z222)</f>
        <v>24477.699999999997</v>
      </c>
      <c r="AB222" s="54">
        <v>2022</v>
      </c>
      <c r="AC222" s="93"/>
    </row>
    <row r="223" spans="1:30" s="67" customFormat="1" x14ac:dyDescent="0.25">
      <c r="A223" s="50" t="s">
        <v>18</v>
      </c>
      <c r="B223" s="50" t="s">
        <v>18</v>
      </c>
      <c r="C223" s="50" t="s">
        <v>21</v>
      </c>
      <c r="D223" s="50" t="s">
        <v>18</v>
      </c>
      <c r="E223" s="50" t="s">
        <v>24</v>
      </c>
      <c r="F223" s="50" t="s">
        <v>18</v>
      </c>
      <c r="G223" s="50" t="s">
        <v>43</v>
      </c>
      <c r="H223" s="50" t="s">
        <v>19</v>
      </c>
      <c r="I223" s="50" t="s">
        <v>24</v>
      </c>
      <c r="J223" s="50" t="s">
        <v>18</v>
      </c>
      <c r="K223" s="50" t="s">
        <v>18</v>
      </c>
      <c r="L223" s="50" t="s">
        <v>20</v>
      </c>
      <c r="M223" s="50" t="s">
        <v>37</v>
      </c>
      <c r="N223" s="50" t="s">
        <v>18</v>
      </c>
      <c r="O223" s="50" t="s">
        <v>169</v>
      </c>
      <c r="P223" s="50" t="s">
        <v>21</v>
      </c>
      <c r="Q223" s="50" t="s">
        <v>25</v>
      </c>
      <c r="R223" s="163"/>
      <c r="S223" s="155"/>
      <c r="T223" s="1">
        <v>0</v>
      </c>
      <c r="U223" s="1">
        <f>4199.9+588.4+1708.4-290-845.8</f>
        <v>5360.8999999999987</v>
      </c>
      <c r="V223" s="1">
        <f>1355-1355</f>
        <v>0</v>
      </c>
      <c r="W223" s="1">
        <f>1500-1500</f>
        <v>0</v>
      </c>
      <c r="X223" s="1">
        <f>1045.1-13.1</f>
        <v>1032</v>
      </c>
      <c r="Y223" s="1">
        <f>1500-1500</f>
        <v>0</v>
      </c>
      <c r="Z223" s="1">
        <f>1500-1500</f>
        <v>0</v>
      </c>
      <c r="AA223" s="55">
        <f t="shared" si="82"/>
        <v>6392.8999999999987</v>
      </c>
      <c r="AB223" s="54">
        <v>2022</v>
      </c>
      <c r="AC223" s="93"/>
    </row>
    <row r="224" spans="1:30" s="67" customFormat="1" x14ac:dyDescent="0.25">
      <c r="A224" s="50" t="s">
        <v>18</v>
      </c>
      <c r="B224" s="50" t="s">
        <v>18</v>
      </c>
      <c r="C224" s="50" t="s">
        <v>21</v>
      </c>
      <c r="D224" s="50" t="s">
        <v>18</v>
      </c>
      <c r="E224" s="50" t="s">
        <v>24</v>
      </c>
      <c r="F224" s="50" t="s">
        <v>18</v>
      </c>
      <c r="G224" s="50" t="s">
        <v>43</v>
      </c>
      <c r="H224" s="50" t="s">
        <v>19</v>
      </c>
      <c r="I224" s="50" t="s">
        <v>24</v>
      </c>
      <c r="J224" s="50" t="s">
        <v>18</v>
      </c>
      <c r="K224" s="50" t="s">
        <v>18</v>
      </c>
      <c r="L224" s="50" t="s">
        <v>20</v>
      </c>
      <c r="M224" s="50" t="s">
        <v>18</v>
      </c>
      <c r="N224" s="50" t="s">
        <v>18</v>
      </c>
      <c r="O224" s="50" t="s">
        <v>169</v>
      </c>
      <c r="P224" s="50" t="s">
        <v>21</v>
      </c>
      <c r="Q224" s="50" t="s">
        <v>25</v>
      </c>
      <c r="R224" s="163"/>
      <c r="S224" s="155"/>
      <c r="T224" s="1">
        <v>0</v>
      </c>
      <c r="U224" s="1">
        <v>0</v>
      </c>
      <c r="V224" s="1">
        <v>0</v>
      </c>
      <c r="W224" s="1">
        <v>0</v>
      </c>
      <c r="X224" s="1">
        <f>111.9-31.3</f>
        <v>80.600000000000009</v>
      </c>
      <c r="Y224" s="1">
        <v>0</v>
      </c>
      <c r="Z224" s="1">
        <v>0</v>
      </c>
      <c r="AA224" s="55">
        <f t="shared" si="82"/>
        <v>80.600000000000009</v>
      </c>
      <c r="AB224" s="54">
        <v>2022</v>
      </c>
      <c r="AC224" s="93"/>
    </row>
    <row r="225" spans="1:30" s="67" customFormat="1" x14ac:dyDescent="0.25">
      <c r="A225" s="50" t="s">
        <v>18</v>
      </c>
      <c r="B225" s="50" t="s">
        <v>18</v>
      </c>
      <c r="C225" s="50" t="s">
        <v>21</v>
      </c>
      <c r="D225" s="50" t="s">
        <v>18</v>
      </c>
      <c r="E225" s="50" t="s">
        <v>24</v>
      </c>
      <c r="F225" s="50" t="s">
        <v>18</v>
      </c>
      <c r="G225" s="50" t="s">
        <v>43</v>
      </c>
      <c r="H225" s="50" t="s">
        <v>19</v>
      </c>
      <c r="I225" s="50" t="s">
        <v>24</v>
      </c>
      <c r="J225" s="50" t="s">
        <v>18</v>
      </c>
      <c r="K225" s="50" t="s">
        <v>18</v>
      </c>
      <c r="L225" s="50" t="s">
        <v>20</v>
      </c>
      <c r="M225" s="50" t="s">
        <v>43</v>
      </c>
      <c r="N225" s="50" t="s">
        <v>43</v>
      </c>
      <c r="O225" s="50" t="s">
        <v>43</v>
      </c>
      <c r="P225" s="50" t="s">
        <v>43</v>
      </c>
      <c r="Q225" s="50" t="s">
        <v>43</v>
      </c>
      <c r="R225" s="163"/>
      <c r="S225" s="156"/>
      <c r="T225" s="1">
        <v>0</v>
      </c>
      <c r="U225" s="1">
        <f>145-145+100+449.4+12.6+23.8-373.9</f>
        <v>211.89999999999998</v>
      </c>
      <c r="V225" s="1">
        <f>145-115</f>
        <v>30</v>
      </c>
      <c r="W225" s="1">
        <v>0</v>
      </c>
      <c r="X225" s="1">
        <v>0</v>
      </c>
      <c r="Y225" s="1">
        <v>0</v>
      </c>
      <c r="Z225" s="1">
        <v>0</v>
      </c>
      <c r="AA225" s="55">
        <f>SUM(T225:Z225)</f>
        <v>241.89999999999998</v>
      </c>
      <c r="AB225" s="54">
        <v>2020</v>
      </c>
      <c r="AC225" s="93"/>
    </row>
    <row r="226" spans="1:30" s="67" customFormat="1" ht="63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69" t="s">
        <v>264</v>
      </c>
      <c r="S226" s="57" t="s">
        <v>52</v>
      </c>
      <c r="T226" s="42">
        <v>0</v>
      </c>
      <c r="U226" s="3">
        <v>11.9</v>
      </c>
      <c r="V226" s="3">
        <f>4-4</f>
        <v>0</v>
      </c>
      <c r="W226" s="3">
        <v>0</v>
      </c>
      <c r="X226" s="3">
        <v>1.9</v>
      </c>
      <c r="Y226" s="3">
        <v>0</v>
      </c>
      <c r="Z226" s="3">
        <v>0</v>
      </c>
      <c r="AA226" s="45">
        <f>SUM(T226:Z226)</f>
        <v>13.8</v>
      </c>
      <c r="AB226" s="39">
        <v>2022</v>
      </c>
      <c r="AC226" s="93"/>
    </row>
    <row r="227" spans="1:30" s="67" customFormat="1" ht="47.25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71" t="s">
        <v>265</v>
      </c>
      <c r="S227" s="57" t="s">
        <v>38</v>
      </c>
      <c r="T227" s="42">
        <v>0</v>
      </c>
      <c r="U227" s="42">
        <v>3</v>
      </c>
      <c r="V227" s="42">
        <f>3-3</f>
        <v>0</v>
      </c>
      <c r="W227" s="42">
        <v>0</v>
      </c>
      <c r="X227" s="42">
        <v>1</v>
      </c>
      <c r="Y227" s="42">
        <v>0</v>
      </c>
      <c r="Z227" s="42">
        <v>0</v>
      </c>
      <c r="AA227" s="45">
        <f>SUM(T227:Z227)</f>
        <v>4</v>
      </c>
      <c r="AB227" s="39">
        <v>2022</v>
      </c>
      <c r="AC227" s="93"/>
      <c r="AD227" s="72"/>
    </row>
    <row r="228" spans="1:30" s="123" customFormat="1" ht="63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69" t="s">
        <v>271</v>
      </c>
      <c r="S228" s="48" t="s">
        <v>38</v>
      </c>
      <c r="T228" s="42">
        <v>0</v>
      </c>
      <c r="U228" s="42">
        <v>3</v>
      </c>
      <c r="V228" s="42">
        <v>1</v>
      </c>
      <c r="W228" s="42">
        <v>0</v>
      </c>
      <c r="X228" s="42">
        <v>1</v>
      </c>
      <c r="Y228" s="42">
        <v>0</v>
      </c>
      <c r="Z228" s="42">
        <v>0</v>
      </c>
      <c r="AA228" s="45">
        <f>SUM(T228:Z228)</f>
        <v>5</v>
      </c>
      <c r="AB228" s="39">
        <v>2022</v>
      </c>
      <c r="AC228" s="101"/>
      <c r="AD228" s="122"/>
    </row>
    <row r="229" spans="1:30" s="67" customFormat="1" x14ac:dyDescent="0.25">
      <c r="A229" s="50" t="s">
        <v>18</v>
      </c>
      <c r="B229" s="50" t="s">
        <v>18</v>
      </c>
      <c r="C229" s="50" t="s">
        <v>25</v>
      </c>
      <c r="D229" s="50" t="s">
        <v>18</v>
      </c>
      <c r="E229" s="50" t="s">
        <v>24</v>
      </c>
      <c r="F229" s="50" t="s">
        <v>18</v>
      </c>
      <c r="G229" s="50" t="s">
        <v>43</v>
      </c>
      <c r="H229" s="50" t="s">
        <v>19</v>
      </c>
      <c r="I229" s="50" t="s">
        <v>24</v>
      </c>
      <c r="J229" s="50" t="s">
        <v>18</v>
      </c>
      <c r="K229" s="50" t="s">
        <v>18</v>
      </c>
      <c r="L229" s="50" t="s">
        <v>20</v>
      </c>
      <c r="M229" s="50" t="s">
        <v>18</v>
      </c>
      <c r="N229" s="50" t="s">
        <v>18</v>
      </c>
      <c r="O229" s="50" t="s">
        <v>18</v>
      </c>
      <c r="P229" s="50" t="s">
        <v>18</v>
      </c>
      <c r="Q229" s="50" t="s">
        <v>18</v>
      </c>
      <c r="R229" s="163" t="s">
        <v>131</v>
      </c>
      <c r="S229" s="154" t="s">
        <v>0</v>
      </c>
      <c r="T229" s="55">
        <f>T231+T233</f>
        <v>0</v>
      </c>
      <c r="U229" s="55">
        <f>SUM(U230:U233)</f>
        <v>10158.9</v>
      </c>
      <c r="V229" s="55">
        <f t="shared" ref="V229:X229" si="83">SUM(V230:V233)</f>
        <v>491</v>
      </c>
      <c r="W229" s="55">
        <f t="shared" si="83"/>
        <v>0</v>
      </c>
      <c r="X229" s="55">
        <f t="shared" si="83"/>
        <v>4885.0999999999995</v>
      </c>
      <c r="Y229" s="55">
        <f t="shared" ref="Y229:Z229" si="84">SUM(Y230:Y233)</f>
        <v>0</v>
      </c>
      <c r="Z229" s="55">
        <f t="shared" si="84"/>
        <v>0</v>
      </c>
      <c r="AA229" s="55">
        <f t="shared" ref="AA229:AA233" si="85">SUM(T229:Z229)</f>
        <v>15535</v>
      </c>
      <c r="AB229" s="54">
        <v>2022</v>
      </c>
      <c r="AC229" s="93"/>
    </row>
    <row r="230" spans="1:30" s="67" customFormat="1" x14ac:dyDescent="0.25">
      <c r="A230" s="50" t="s">
        <v>18</v>
      </c>
      <c r="B230" s="50" t="s">
        <v>18</v>
      </c>
      <c r="C230" s="50" t="s">
        <v>25</v>
      </c>
      <c r="D230" s="50" t="s">
        <v>18</v>
      </c>
      <c r="E230" s="50" t="s">
        <v>24</v>
      </c>
      <c r="F230" s="50" t="s">
        <v>18</v>
      </c>
      <c r="G230" s="50" t="s">
        <v>43</v>
      </c>
      <c r="H230" s="50" t="s">
        <v>19</v>
      </c>
      <c r="I230" s="50" t="s">
        <v>24</v>
      </c>
      <c r="J230" s="50" t="s">
        <v>18</v>
      </c>
      <c r="K230" s="50" t="s">
        <v>18</v>
      </c>
      <c r="L230" s="50" t="s">
        <v>20</v>
      </c>
      <c r="M230" s="50" t="s">
        <v>19</v>
      </c>
      <c r="N230" s="50" t="s">
        <v>18</v>
      </c>
      <c r="O230" s="50" t="s">
        <v>169</v>
      </c>
      <c r="P230" s="50" t="s">
        <v>21</v>
      </c>
      <c r="Q230" s="50" t="s">
        <v>25</v>
      </c>
      <c r="R230" s="163"/>
      <c r="S230" s="155"/>
      <c r="T230" s="1">
        <v>0</v>
      </c>
      <c r="U230" s="1">
        <f>9600-1604.2</f>
        <v>7995.8</v>
      </c>
      <c r="V230" s="1">
        <v>0</v>
      </c>
      <c r="W230" s="1">
        <v>0</v>
      </c>
      <c r="X230" s="1">
        <v>3184.8</v>
      </c>
      <c r="Y230" s="1">
        <v>0</v>
      </c>
      <c r="Z230" s="1">
        <v>0</v>
      </c>
      <c r="AA230" s="55">
        <f t="shared" si="85"/>
        <v>11180.6</v>
      </c>
      <c r="AB230" s="54">
        <v>2022</v>
      </c>
      <c r="AC230" s="93"/>
    </row>
    <row r="231" spans="1:30" s="67" customFormat="1" x14ac:dyDescent="0.25">
      <c r="A231" s="50" t="s">
        <v>18</v>
      </c>
      <c r="B231" s="50" t="s">
        <v>18</v>
      </c>
      <c r="C231" s="50" t="s">
        <v>25</v>
      </c>
      <c r="D231" s="50" t="s">
        <v>18</v>
      </c>
      <c r="E231" s="50" t="s">
        <v>24</v>
      </c>
      <c r="F231" s="50" t="s">
        <v>18</v>
      </c>
      <c r="G231" s="50" t="s">
        <v>43</v>
      </c>
      <c r="H231" s="50" t="s">
        <v>19</v>
      </c>
      <c r="I231" s="50" t="s">
        <v>24</v>
      </c>
      <c r="J231" s="50" t="s">
        <v>18</v>
      </c>
      <c r="K231" s="50" t="s">
        <v>18</v>
      </c>
      <c r="L231" s="50" t="s">
        <v>20</v>
      </c>
      <c r="M231" s="50" t="s">
        <v>37</v>
      </c>
      <c r="N231" s="50" t="s">
        <v>18</v>
      </c>
      <c r="O231" s="50" t="s">
        <v>169</v>
      </c>
      <c r="P231" s="50" t="s">
        <v>21</v>
      </c>
      <c r="Q231" s="50" t="s">
        <v>25</v>
      </c>
      <c r="R231" s="163"/>
      <c r="S231" s="155"/>
      <c r="T231" s="1">
        <v>0</v>
      </c>
      <c r="U231" s="1">
        <f>2401-402-43.9</f>
        <v>1955.1</v>
      </c>
      <c r="V231" s="1">
        <f>798.8-798.8</f>
        <v>0</v>
      </c>
      <c r="W231" s="1">
        <f>1500-1500</f>
        <v>0</v>
      </c>
      <c r="X231" s="1">
        <v>796.2</v>
      </c>
      <c r="Y231" s="1">
        <f>1500-1500</f>
        <v>0</v>
      </c>
      <c r="Z231" s="1">
        <f>1500-1500</f>
        <v>0</v>
      </c>
      <c r="AA231" s="55">
        <f t="shared" si="85"/>
        <v>2751.3</v>
      </c>
      <c r="AB231" s="54">
        <v>2022</v>
      </c>
      <c r="AC231" s="93"/>
    </row>
    <row r="232" spans="1:30" s="67" customFormat="1" x14ac:dyDescent="0.25">
      <c r="A232" s="50" t="s">
        <v>18</v>
      </c>
      <c r="B232" s="50" t="s">
        <v>18</v>
      </c>
      <c r="C232" s="50" t="s">
        <v>25</v>
      </c>
      <c r="D232" s="50" t="s">
        <v>18</v>
      </c>
      <c r="E232" s="50" t="s">
        <v>24</v>
      </c>
      <c r="F232" s="50" t="s">
        <v>18</v>
      </c>
      <c r="G232" s="50" t="s">
        <v>43</v>
      </c>
      <c r="H232" s="50" t="s">
        <v>19</v>
      </c>
      <c r="I232" s="50" t="s">
        <v>24</v>
      </c>
      <c r="J232" s="50" t="s">
        <v>18</v>
      </c>
      <c r="K232" s="50" t="s">
        <v>18</v>
      </c>
      <c r="L232" s="50" t="s">
        <v>20</v>
      </c>
      <c r="M232" s="50" t="s">
        <v>18</v>
      </c>
      <c r="N232" s="50" t="s">
        <v>18</v>
      </c>
      <c r="O232" s="50" t="s">
        <v>169</v>
      </c>
      <c r="P232" s="50" t="s">
        <v>21</v>
      </c>
      <c r="Q232" s="50" t="s">
        <v>25</v>
      </c>
      <c r="R232" s="163"/>
      <c r="S232" s="155"/>
      <c r="T232" s="1">
        <v>0</v>
      </c>
      <c r="U232" s="1">
        <v>0</v>
      </c>
      <c r="V232" s="1">
        <v>0</v>
      </c>
      <c r="W232" s="1">
        <v>0</v>
      </c>
      <c r="X232" s="1">
        <f>105.8-51.1</f>
        <v>54.699999999999996</v>
      </c>
      <c r="Y232" s="1">
        <v>0</v>
      </c>
      <c r="Z232" s="1">
        <v>0</v>
      </c>
      <c r="AA232" s="55">
        <f t="shared" si="85"/>
        <v>54.699999999999996</v>
      </c>
      <c r="AB232" s="54">
        <v>2022</v>
      </c>
      <c r="AC232" s="93"/>
    </row>
    <row r="233" spans="1:30" s="67" customFormat="1" x14ac:dyDescent="0.25">
      <c r="A233" s="50" t="s">
        <v>18</v>
      </c>
      <c r="B233" s="50" t="s">
        <v>18</v>
      </c>
      <c r="C233" s="50" t="s">
        <v>25</v>
      </c>
      <c r="D233" s="50" t="s">
        <v>18</v>
      </c>
      <c r="E233" s="50" t="s">
        <v>24</v>
      </c>
      <c r="F233" s="50" t="s">
        <v>18</v>
      </c>
      <c r="G233" s="50" t="s">
        <v>43</v>
      </c>
      <c r="H233" s="50" t="s">
        <v>19</v>
      </c>
      <c r="I233" s="50" t="s">
        <v>24</v>
      </c>
      <c r="J233" s="50" t="s">
        <v>18</v>
      </c>
      <c r="K233" s="50" t="s">
        <v>18</v>
      </c>
      <c r="L233" s="50" t="s">
        <v>20</v>
      </c>
      <c r="M233" s="50" t="s">
        <v>43</v>
      </c>
      <c r="N233" s="50" t="s">
        <v>43</v>
      </c>
      <c r="O233" s="50" t="s">
        <v>43</v>
      </c>
      <c r="P233" s="50" t="s">
        <v>43</v>
      </c>
      <c r="Q233" s="50" t="s">
        <v>43</v>
      </c>
      <c r="R233" s="163"/>
      <c r="S233" s="156"/>
      <c r="T233" s="1">
        <v>0</v>
      </c>
      <c r="U233" s="1">
        <f>356.9+402-550.9</f>
        <v>208</v>
      </c>
      <c r="V233" s="1">
        <f>701.2-88.6-121.6</f>
        <v>491</v>
      </c>
      <c r="W233" s="1">
        <v>0</v>
      </c>
      <c r="X233" s="1">
        <f>0+849.4</f>
        <v>849.4</v>
      </c>
      <c r="Y233" s="1">
        <v>0</v>
      </c>
      <c r="Z233" s="1">
        <v>0</v>
      </c>
      <c r="AA233" s="55">
        <f t="shared" si="85"/>
        <v>1548.4</v>
      </c>
      <c r="AB233" s="54">
        <v>2020</v>
      </c>
      <c r="AC233" s="93"/>
    </row>
    <row r="234" spans="1:30" s="67" customFormat="1" ht="63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69" t="s">
        <v>266</v>
      </c>
      <c r="S234" s="57" t="s">
        <v>52</v>
      </c>
      <c r="T234" s="3">
        <v>0</v>
      </c>
      <c r="U234" s="3">
        <v>4.0999999999999996</v>
      </c>
      <c r="V234" s="3">
        <f>1.3-1.3</f>
        <v>0</v>
      </c>
      <c r="W234" s="3">
        <v>0</v>
      </c>
      <c r="X234" s="3">
        <v>1</v>
      </c>
      <c r="Y234" s="3">
        <v>0</v>
      </c>
      <c r="Z234" s="3">
        <v>0</v>
      </c>
      <c r="AA234" s="6">
        <f>SUM(T234:Z234)</f>
        <v>5.0999999999999996</v>
      </c>
      <c r="AB234" s="39">
        <v>2022</v>
      </c>
      <c r="AC234" s="93"/>
    </row>
    <row r="235" spans="1:30" s="67" customFormat="1" ht="4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71" t="s">
        <v>267</v>
      </c>
      <c r="S235" s="57" t="s">
        <v>38</v>
      </c>
      <c r="T235" s="42">
        <v>0</v>
      </c>
      <c r="U235" s="42">
        <v>5</v>
      </c>
      <c r="V235" s="42">
        <f>1-1</f>
        <v>0</v>
      </c>
      <c r="W235" s="42">
        <v>0</v>
      </c>
      <c r="X235" s="42">
        <v>1</v>
      </c>
      <c r="Y235" s="42">
        <v>0</v>
      </c>
      <c r="Z235" s="42">
        <v>0</v>
      </c>
      <c r="AA235" s="6">
        <f t="shared" ref="AA235:AA236" si="86">SUM(T235:Z235)</f>
        <v>6</v>
      </c>
      <c r="AB235" s="39">
        <v>2022</v>
      </c>
      <c r="AC235" s="93"/>
      <c r="AD235" s="72"/>
    </row>
    <row r="236" spans="1:30" s="123" customFormat="1" ht="63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69" t="s">
        <v>316</v>
      </c>
      <c r="S236" s="48" t="s">
        <v>38</v>
      </c>
      <c r="T236" s="42">
        <v>0</v>
      </c>
      <c r="U236" s="42">
        <v>5</v>
      </c>
      <c r="V236" s="42">
        <v>8</v>
      </c>
      <c r="W236" s="42">
        <v>0</v>
      </c>
      <c r="X236" s="42">
        <v>1</v>
      </c>
      <c r="Y236" s="42">
        <v>0</v>
      </c>
      <c r="Z236" s="42">
        <v>0</v>
      </c>
      <c r="AA236" s="45">
        <f t="shared" si="86"/>
        <v>14</v>
      </c>
      <c r="AB236" s="39">
        <v>2022</v>
      </c>
      <c r="AC236" s="101"/>
      <c r="AD236" s="122"/>
    </row>
    <row r="237" spans="1:30" s="67" customFormat="1" ht="19.149999999999999" customHeight="1" x14ac:dyDescent="0.25">
      <c r="A237" s="50" t="s">
        <v>18</v>
      </c>
      <c r="B237" s="50" t="s">
        <v>19</v>
      </c>
      <c r="C237" s="50" t="s">
        <v>20</v>
      </c>
      <c r="D237" s="50" t="s">
        <v>18</v>
      </c>
      <c r="E237" s="50" t="s">
        <v>24</v>
      </c>
      <c r="F237" s="50" t="s">
        <v>18</v>
      </c>
      <c r="G237" s="50" t="s">
        <v>43</v>
      </c>
      <c r="H237" s="50" t="s">
        <v>19</v>
      </c>
      <c r="I237" s="50" t="s">
        <v>24</v>
      </c>
      <c r="J237" s="50" t="s">
        <v>18</v>
      </c>
      <c r="K237" s="50" t="s">
        <v>18</v>
      </c>
      <c r="L237" s="50" t="s">
        <v>20</v>
      </c>
      <c r="M237" s="50" t="s">
        <v>18</v>
      </c>
      <c r="N237" s="50" t="s">
        <v>18</v>
      </c>
      <c r="O237" s="50" t="s">
        <v>18</v>
      </c>
      <c r="P237" s="50" t="s">
        <v>18</v>
      </c>
      <c r="Q237" s="50" t="s">
        <v>18</v>
      </c>
      <c r="R237" s="163" t="s">
        <v>131</v>
      </c>
      <c r="S237" s="154" t="s">
        <v>0</v>
      </c>
      <c r="T237" s="55">
        <f t="shared" ref="T237:Z237" si="87">SUM(T238:T240)</f>
        <v>123487.5</v>
      </c>
      <c r="U237" s="55">
        <f t="shared" si="87"/>
        <v>579.5</v>
      </c>
      <c r="V237" s="55">
        <f t="shared" si="87"/>
        <v>0</v>
      </c>
      <c r="W237" s="55">
        <f t="shared" si="87"/>
        <v>0</v>
      </c>
      <c r="X237" s="55">
        <f t="shared" si="87"/>
        <v>0</v>
      </c>
      <c r="Y237" s="55">
        <f t="shared" si="87"/>
        <v>0</v>
      </c>
      <c r="Z237" s="55">
        <f t="shared" si="87"/>
        <v>0</v>
      </c>
      <c r="AA237" s="55">
        <f t="shared" ref="AA237:AA242" si="88">SUM(T237:Z237)</f>
        <v>124067</v>
      </c>
      <c r="AB237" s="54">
        <v>2019</v>
      </c>
      <c r="AC237" s="110"/>
    </row>
    <row r="238" spans="1:30" s="67" customFormat="1" ht="19.149999999999999" customHeight="1" x14ac:dyDescent="0.25">
      <c r="A238" s="50" t="s">
        <v>18</v>
      </c>
      <c r="B238" s="50" t="s">
        <v>19</v>
      </c>
      <c r="C238" s="50" t="s">
        <v>20</v>
      </c>
      <c r="D238" s="50" t="s">
        <v>18</v>
      </c>
      <c r="E238" s="50" t="s">
        <v>24</v>
      </c>
      <c r="F238" s="50" t="s">
        <v>18</v>
      </c>
      <c r="G238" s="50" t="s">
        <v>43</v>
      </c>
      <c r="H238" s="50" t="s">
        <v>19</v>
      </c>
      <c r="I238" s="50" t="s">
        <v>24</v>
      </c>
      <c r="J238" s="50" t="s">
        <v>18</v>
      </c>
      <c r="K238" s="50" t="s">
        <v>18</v>
      </c>
      <c r="L238" s="50" t="s">
        <v>20</v>
      </c>
      <c r="M238" s="50" t="s">
        <v>19</v>
      </c>
      <c r="N238" s="50" t="s">
        <v>18</v>
      </c>
      <c r="O238" s="50" t="s">
        <v>169</v>
      </c>
      <c r="P238" s="50" t="s">
        <v>21</v>
      </c>
      <c r="Q238" s="50" t="s">
        <v>25</v>
      </c>
      <c r="R238" s="163"/>
      <c r="S238" s="155"/>
      <c r="T238" s="1">
        <v>78128.899999999994</v>
      </c>
      <c r="U238" s="1">
        <f>57600.3-57600.3</f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5">
        <f t="shared" si="88"/>
        <v>78128.899999999994</v>
      </c>
      <c r="AB238" s="54">
        <v>2018</v>
      </c>
      <c r="AC238" s="33"/>
    </row>
    <row r="239" spans="1:30" s="67" customFormat="1" ht="19.149999999999999" customHeight="1" x14ac:dyDescent="0.25">
      <c r="A239" s="50" t="s">
        <v>18</v>
      </c>
      <c r="B239" s="50" t="s">
        <v>19</v>
      </c>
      <c r="C239" s="50" t="s">
        <v>20</v>
      </c>
      <c r="D239" s="50" t="s">
        <v>18</v>
      </c>
      <c r="E239" s="50" t="s">
        <v>24</v>
      </c>
      <c r="F239" s="50" t="s">
        <v>18</v>
      </c>
      <c r="G239" s="50" t="s">
        <v>43</v>
      </c>
      <c r="H239" s="50" t="s">
        <v>19</v>
      </c>
      <c r="I239" s="50" t="s">
        <v>24</v>
      </c>
      <c r="J239" s="50" t="s">
        <v>18</v>
      </c>
      <c r="K239" s="50" t="s">
        <v>18</v>
      </c>
      <c r="L239" s="50" t="s">
        <v>20</v>
      </c>
      <c r="M239" s="50" t="s">
        <v>37</v>
      </c>
      <c r="N239" s="50" t="s">
        <v>18</v>
      </c>
      <c r="O239" s="50" t="s">
        <v>169</v>
      </c>
      <c r="P239" s="50" t="s">
        <v>21</v>
      </c>
      <c r="Q239" s="50" t="s">
        <v>25</v>
      </c>
      <c r="R239" s="163"/>
      <c r="S239" s="155"/>
      <c r="T239" s="1">
        <f>18932.6+19997.4+4074.8+2495.5-26-605.7-796.8</f>
        <v>44071.8</v>
      </c>
      <c r="U239" s="1">
        <f>0+14400.7-14400.7</f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5">
        <f t="shared" si="88"/>
        <v>44071.8</v>
      </c>
      <c r="AB239" s="54">
        <v>2018</v>
      </c>
      <c r="AC239" s="33"/>
    </row>
    <row r="240" spans="1:30" s="67" customFormat="1" ht="19.149999999999999" customHeight="1" x14ac:dyDescent="0.25">
      <c r="A240" s="50" t="s">
        <v>18</v>
      </c>
      <c r="B240" s="50" t="s">
        <v>19</v>
      </c>
      <c r="C240" s="50" t="s">
        <v>20</v>
      </c>
      <c r="D240" s="50" t="s">
        <v>18</v>
      </c>
      <c r="E240" s="50" t="s">
        <v>24</v>
      </c>
      <c r="F240" s="50" t="s">
        <v>18</v>
      </c>
      <c r="G240" s="50" t="s">
        <v>43</v>
      </c>
      <c r="H240" s="50" t="s">
        <v>19</v>
      </c>
      <c r="I240" s="50" t="s">
        <v>24</v>
      </c>
      <c r="J240" s="50" t="s">
        <v>18</v>
      </c>
      <c r="K240" s="50" t="s">
        <v>18</v>
      </c>
      <c r="L240" s="50" t="s">
        <v>20</v>
      </c>
      <c r="M240" s="50" t="s">
        <v>43</v>
      </c>
      <c r="N240" s="50" t="s">
        <v>43</v>
      </c>
      <c r="O240" s="50" t="s">
        <v>43</v>
      </c>
      <c r="P240" s="50" t="s">
        <v>43</v>
      </c>
      <c r="Q240" s="50" t="s">
        <v>43</v>
      </c>
      <c r="R240" s="163"/>
      <c r="S240" s="156"/>
      <c r="T240" s="1">
        <f>2076.9+439-203.1-904.8-121.2</f>
        <v>1286.8000000000002</v>
      </c>
      <c r="U240" s="1">
        <v>579.5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5">
        <f t="shared" si="88"/>
        <v>1866.3000000000002</v>
      </c>
      <c r="AB240" s="54">
        <v>2019</v>
      </c>
      <c r="AC240" s="33"/>
    </row>
    <row r="241" spans="1:31" s="123" customFormat="1" ht="63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69" t="s">
        <v>268</v>
      </c>
      <c r="S241" s="48" t="s">
        <v>52</v>
      </c>
      <c r="T241" s="3">
        <v>58.6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6">
        <f t="shared" si="88"/>
        <v>58.6</v>
      </c>
      <c r="AB241" s="39">
        <v>2018</v>
      </c>
      <c r="AC241" s="101"/>
    </row>
    <row r="242" spans="1:31" s="123" customFormat="1" ht="50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69" t="s">
        <v>269</v>
      </c>
      <c r="S242" s="48" t="s">
        <v>38</v>
      </c>
      <c r="T242" s="42">
        <v>28</v>
      </c>
      <c r="U242" s="42">
        <v>0</v>
      </c>
      <c r="V242" s="42">
        <v>0</v>
      </c>
      <c r="W242" s="42">
        <v>0</v>
      </c>
      <c r="X242" s="42">
        <v>0</v>
      </c>
      <c r="Y242" s="42">
        <v>0</v>
      </c>
      <c r="Z242" s="42">
        <v>0</v>
      </c>
      <c r="AA242" s="45">
        <f t="shared" si="88"/>
        <v>28</v>
      </c>
      <c r="AB242" s="39">
        <v>2018</v>
      </c>
      <c r="AC242" s="101"/>
      <c r="AD242" s="122"/>
    </row>
    <row r="243" spans="1:31" s="67" customFormat="1" ht="31.5" x14ac:dyDescent="0.2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68" t="s">
        <v>175</v>
      </c>
      <c r="S243" s="51" t="s">
        <v>49</v>
      </c>
      <c r="T243" s="52">
        <v>1</v>
      </c>
      <c r="U243" s="52">
        <v>1</v>
      </c>
      <c r="V243" s="52">
        <v>1</v>
      </c>
      <c r="W243" s="52">
        <v>1</v>
      </c>
      <c r="X243" s="52">
        <v>1</v>
      </c>
      <c r="Y243" s="52">
        <v>1</v>
      </c>
      <c r="Z243" s="52">
        <v>1</v>
      </c>
      <c r="AA243" s="53">
        <v>1</v>
      </c>
      <c r="AB243" s="54">
        <v>2024</v>
      </c>
      <c r="AC243" s="33"/>
    </row>
    <row r="244" spans="1:31" ht="31.5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69" t="s">
        <v>132</v>
      </c>
      <c r="S244" s="39" t="s">
        <v>50</v>
      </c>
      <c r="T244" s="42">
        <f>25+19+31+16</f>
        <v>91</v>
      </c>
      <c r="U244" s="42">
        <f>6+15+31+5</f>
        <v>57</v>
      </c>
      <c r="V244" s="42">
        <f>50+19+31+70-60-49</f>
        <v>61</v>
      </c>
      <c r="W244" s="42">
        <f>2+15+31+30</f>
        <v>78</v>
      </c>
      <c r="X244" s="42">
        <f t="shared" ref="X244:Z244" si="89">50+19+31+70-60-49</f>
        <v>61</v>
      </c>
      <c r="Y244" s="42">
        <f t="shared" si="89"/>
        <v>61</v>
      </c>
      <c r="Z244" s="42">
        <f t="shared" si="89"/>
        <v>61</v>
      </c>
      <c r="AA244" s="45">
        <f>SUM(T244:Z244)</f>
        <v>470</v>
      </c>
      <c r="AB244" s="39">
        <v>2024</v>
      </c>
      <c r="AC244" s="118"/>
      <c r="AD244" s="91"/>
      <c r="AE244" s="91"/>
    </row>
    <row r="245" spans="1:31" ht="31.5" x14ac:dyDescent="0.25">
      <c r="A245" s="50"/>
      <c r="B245" s="50"/>
      <c r="C245" s="50"/>
      <c r="D245" s="50"/>
      <c r="E245" s="50"/>
      <c r="F245" s="50"/>
      <c r="G245" s="50"/>
      <c r="H245" s="50" t="s">
        <v>19</v>
      </c>
      <c r="I245" s="50" t="s">
        <v>24</v>
      </c>
      <c r="J245" s="50" t="s">
        <v>18</v>
      </c>
      <c r="K245" s="50" t="s">
        <v>18</v>
      </c>
      <c r="L245" s="50" t="s">
        <v>20</v>
      </c>
      <c r="M245" s="50" t="s">
        <v>18</v>
      </c>
      <c r="N245" s="50" t="s">
        <v>18</v>
      </c>
      <c r="O245" s="50" t="s">
        <v>18</v>
      </c>
      <c r="P245" s="50" t="s">
        <v>18</v>
      </c>
      <c r="Q245" s="50" t="s">
        <v>18</v>
      </c>
      <c r="R245" s="68" t="s">
        <v>133</v>
      </c>
      <c r="S245" s="54" t="s">
        <v>0</v>
      </c>
      <c r="T245" s="55">
        <f>T248+T295+T433+T338+T445</f>
        <v>22266.699999999997</v>
      </c>
      <c r="U245" s="55">
        <f>U248+U295+U433+U338+U445</f>
        <v>22466.400000000001</v>
      </c>
      <c r="V245" s="55">
        <f>V248+V295+V433+V338+V445</f>
        <v>7085.3</v>
      </c>
      <c r="W245" s="55">
        <f>W248+W295+W433+W338+W445</f>
        <v>17341.099999999999</v>
      </c>
      <c r="X245" s="55">
        <f>X248+X295+X433+X338+X445</f>
        <v>11062.6</v>
      </c>
      <c r="Y245" s="55">
        <f t="shared" ref="Y245:Z245" si="90">Y248+Y295+Y433+Y338+Y445</f>
        <v>8000</v>
      </c>
      <c r="Z245" s="55">
        <f t="shared" si="90"/>
        <v>10000</v>
      </c>
      <c r="AA245" s="55">
        <f>SUM(T245:Z245)</f>
        <v>98222.1</v>
      </c>
      <c r="AB245" s="54">
        <v>2022</v>
      </c>
      <c r="AC245" s="36"/>
      <c r="AD245" s="91"/>
      <c r="AE245" s="91"/>
    </row>
    <row r="246" spans="1:31" ht="31.5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71" t="s">
        <v>179</v>
      </c>
      <c r="S246" s="57" t="s">
        <v>52</v>
      </c>
      <c r="T246" s="3">
        <f>T305+T350+T442</f>
        <v>4.4000000000000004</v>
      </c>
      <c r="U246" s="3">
        <f>U305+U350+U442+U258</f>
        <v>4</v>
      </c>
      <c r="V246" s="3">
        <f>V305+V350+V442+V258</f>
        <v>1.7000000000000002</v>
      </c>
      <c r="W246" s="3">
        <f>W305+W350+W442+W258</f>
        <v>4.6000000000000005</v>
      </c>
      <c r="X246" s="3">
        <f>X305+X350+X442+X258</f>
        <v>2.7</v>
      </c>
      <c r="Y246" s="3">
        <f>Y305+Y350+Y442+Y258+Y446</f>
        <v>8</v>
      </c>
      <c r="Z246" s="3">
        <f>Z305+Z350+Z442+Z258+Z446</f>
        <v>10</v>
      </c>
      <c r="AA246" s="6">
        <f>SUM(T246:Z246)</f>
        <v>35.400000000000006</v>
      </c>
      <c r="AB246" s="39">
        <v>2022</v>
      </c>
      <c r="AC246" s="9"/>
      <c r="AD246" s="91"/>
      <c r="AE246" s="91"/>
    </row>
    <row r="247" spans="1:31" ht="31.5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71" t="s">
        <v>176</v>
      </c>
      <c r="S247" s="39" t="s">
        <v>50</v>
      </c>
      <c r="T247" s="42">
        <f t="shared" ref="T247:W247" si="91">T259+T306+T351+T444</f>
        <v>30</v>
      </c>
      <c r="U247" s="42">
        <f t="shared" si="91"/>
        <v>22</v>
      </c>
      <c r="V247" s="42">
        <f t="shared" si="91"/>
        <v>7</v>
      </c>
      <c r="W247" s="42">
        <f t="shared" si="91"/>
        <v>15</v>
      </c>
      <c r="X247" s="42">
        <f>X259+X306+X351+X444</f>
        <v>6</v>
      </c>
      <c r="Y247" s="42">
        <f>Y259+Y306+Y351+Y444+Y447</f>
        <v>8</v>
      </c>
      <c r="Z247" s="42">
        <f>Z259+Z306+Z351+Z444+Z447</f>
        <v>10</v>
      </c>
      <c r="AA247" s="45">
        <f>SUM(T247:Z247)</f>
        <v>98</v>
      </c>
      <c r="AB247" s="39">
        <v>2022</v>
      </c>
      <c r="AC247" s="9"/>
      <c r="AD247" s="91"/>
      <c r="AE247" s="91"/>
    </row>
    <row r="248" spans="1:31" x14ac:dyDescent="0.25">
      <c r="A248" s="50" t="s">
        <v>18</v>
      </c>
      <c r="B248" s="50" t="s">
        <v>18</v>
      </c>
      <c r="C248" s="50" t="s">
        <v>22</v>
      </c>
      <c r="D248" s="50" t="s">
        <v>18</v>
      </c>
      <c r="E248" s="50" t="s">
        <v>18</v>
      </c>
      <c r="F248" s="50" t="s">
        <v>18</v>
      </c>
      <c r="G248" s="50" t="s">
        <v>18</v>
      </c>
      <c r="H248" s="50" t="s">
        <v>19</v>
      </c>
      <c r="I248" s="50" t="s">
        <v>24</v>
      </c>
      <c r="J248" s="50" t="s">
        <v>18</v>
      </c>
      <c r="K248" s="50" t="s">
        <v>18</v>
      </c>
      <c r="L248" s="50" t="s">
        <v>20</v>
      </c>
      <c r="M248" s="50" t="s">
        <v>18</v>
      </c>
      <c r="N248" s="50" t="s">
        <v>18</v>
      </c>
      <c r="O248" s="50" t="s">
        <v>18</v>
      </c>
      <c r="P248" s="50" t="s">
        <v>18</v>
      </c>
      <c r="Q248" s="50" t="s">
        <v>18</v>
      </c>
      <c r="R248" s="164" t="s">
        <v>133</v>
      </c>
      <c r="S248" s="157" t="s">
        <v>0</v>
      </c>
      <c r="T248" s="55">
        <f t="shared" ref="T248:V248" si="92">SUM(T249:T253)</f>
        <v>2922.6</v>
      </c>
      <c r="U248" s="55">
        <f t="shared" si="92"/>
        <v>6574.9</v>
      </c>
      <c r="V248" s="55">
        <f t="shared" si="92"/>
        <v>3964.5</v>
      </c>
      <c r="W248" s="55">
        <f>SUM(W249:W256)</f>
        <v>1826.6</v>
      </c>
      <c r="X248" s="55">
        <f>SUM(X249:X256)</f>
        <v>5603</v>
      </c>
      <c r="Y248" s="55">
        <f t="shared" ref="Y248:Z248" si="93">SUM(Y249:Y256)</f>
        <v>0</v>
      </c>
      <c r="Z248" s="55">
        <f t="shared" si="93"/>
        <v>0</v>
      </c>
      <c r="AA248" s="55">
        <f>SUM(T248:Z248)</f>
        <v>20891.599999999999</v>
      </c>
      <c r="AB248" s="54">
        <v>2022</v>
      </c>
      <c r="AC248" s="114"/>
      <c r="AD248" s="91"/>
      <c r="AE248" s="91"/>
    </row>
    <row r="249" spans="1:31" x14ac:dyDescent="0.25">
      <c r="A249" s="50" t="s">
        <v>18</v>
      </c>
      <c r="B249" s="50" t="s">
        <v>18</v>
      </c>
      <c r="C249" s="50" t="s">
        <v>22</v>
      </c>
      <c r="D249" s="50" t="s">
        <v>18</v>
      </c>
      <c r="E249" s="50" t="s">
        <v>18</v>
      </c>
      <c r="F249" s="50" t="s">
        <v>18</v>
      </c>
      <c r="G249" s="50" t="s">
        <v>18</v>
      </c>
      <c r="H249" s="50" t="s">
        <v>19</v>
      </c>
      <c r="I249" s="50" t="s">
        <v>24</v>
      </c>
      <c r="J249" s="50" t="s">
        <v>18</v>
      </c>
      <c r="K249" s="50" t="s">
        <v>18</v>
      </c>
      <c r="L249" s="50" t="s">
        <v>20</v>
      </c>
      <c r="M249" s="50" t="s">
        <v>19</v>
      </c>
      <c r="N249" s="50" t="s">
        <v>18</v>
      </c>
      <c r="O249" s="50" t="s">
        <v>24</v>
      </c>
      <c r="P249" s="50" t="s">
        <v>22</v>
      </c>
      <c r="Q249" s="50" t="s">
        <v>45</v>
      </c>
      <c r="R249" s="165"/>
      <c r="S249" s="158"/>
      <c r="T249" s="1">
        <f>T261+T266+T271+T277+T283+T290</f>
        <v>1229.5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5">
        <f t="shared" ref="AA249:AA255" si="94">SUM(T249:Z249)</f>
        <v>1229.5</v>
      </c>
      <c r="AB249" s="54">
        <v>2018</v>
      </c>
      <c r="AC249" s="114"/>
      <c r="AD249" s="91"/>
      <c r="AE249" s="91"/>
    </row>
    <row r="250" spans="1:31" x14ac:dyDescent="0.25">
      <c r="A250" s="50" t="s">
        <v>18</v>
      </c>
      <c r="B250" s="50" t="s">
        <v>18</v>
      </c>
      <c r="C250" s="50" t="s">
        <v>22</v>
      </c>
      <c r="D250" s="50" t="s">
        <v>18</v>
      </c>
      <c r="E250" s="50" t="s">
        <v>18</v>
      </c>
      <c r="F250" s="50" t="s">
        <v>18</v>
      </c>
      <c r="G250" s="50" t="s">
        <v>18</v>
      </c>
      <c r="H250" s="50" t="s">
        <v>19</v>
      </c>
      <c r="I250" s="50" t="s">
        <v>24</v>
      </c>
      <c r="J250" s="50" t="s">
        <v>18</v>
      </c>
      <c r="K250" s="50" t="s">
        <v>18</v>
      </c>
      <c r="L250" s="50" t="s">
        <v>20</v>
      </c>
      <c r="M250" s="50" t="s">
        <v>37</v>
      </c>
      <c r="N250" s="50" t="s">
        <v>18</v>
      </c>
      <c r="O250" s="50" t="s">
        <v>24</v>
      </c>
      <c r="P250" s="50" t="s">
        <v>22</v>
      </c>
      <c r="Q250" s="50" t="s">
        <v>39</v>
      </c>
      <c r="R250" s="165"/>
      <c r="S250" s="158"/>
      <c r="T250" s="1">
        <v>1046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5">
        <f t="shared" si="94"/>
        <v>1046</v>
      </c>
      <c r="AB250" s="54">
        <v>2018</v>
      </c>
      <c r="AC250" s="114"/>
      <c r="AD250" s="91"/>
      <c r="AE250" s="91"/>
    </row>
    <row r="251" spans="1:31" x14ac:dyDescent="0.25">
      <c r="A251" s="50" t="s">
        <v>18</v>
      </c>
      <c r="B251" s="50" t="s">
        <v>18</v>
      </c>
      <c r="C251" s="50" t="s">
        <v>22</v>
      </c>
      <c r="D251" s="50" t="s">
        <v>18</v>
      </c>
      <c r="E251" s="50" t="s">
        <v>18</v>
      </c>
      <c r="F251" s="50" t="s">
        <v>18</v>
      </c>
      <c r="G251" s="50" t="s">
        <v>18</v>
      </c>
      <c r="H251" s="50" t="s">
        <v>19</v>
      </c>
      <c r="I251" s="50" t="s">
        <v>24</v>
      </c>
      <c r="J251" s="50" t="s">
        <v>18</v>
      </c>
      <c r="K251" s="50" t="s">
        <v>18</v>
      </c>
      <c r="L251" s="50" t="s">
        <v>20</v>
      </c>
      <c r="M251" s="50" t="s">
        <v>37</v>
      </c>
      <c r="N251" s="50" t="s">
        <v>18</v>
      </c>
      <c r="O251" s="50" t="s">
        <v>24</v>
      </c>
      <c r="P251" s="50" t="s">
        <v>22</v>
      </c>
      <c r="Q251" s="50" t="s">
        <v>46</v>
      </c>
      <c r="R251" s="165"/>
      <c r="S251" s="158"/>
      <c r="T251" s="1">
        <v>647.1</v>
      </c>
      <c r="U251" s="1">
        <v>1329.9</v>
      </c>
      <c r="V251" s="1">
        <v>949.3</v>
      </c>
      <c r="W251" s="1">
        <v>0</v>
      </c>
      <c r="X251" s="1">
        <v>0</v>
      </c>
      <c r="Y251" s="1">
        <v>0</v>
      </c>
      <c r="Z251" s="1">
        <v>0</v>
      </c>
      <c r="AA251" s="55">
        <f t="shared" si="94"/>
        <v>2926.3</v>
      </c>
      <c r="AB251" s="54">
        <v>2020</v>
      </c>
      <c r="AC251" s="114"/>
      <c r="AD251" s="91"/>
      <c r="AE251" s="91"/>
    </row>
    <row r="252" spans="1:31" x14ac:dyDescent="0.25">
      <c r="A252" s="50" t="s">
        <v>18</v>
      </c>
      <c r="B252" s="50" t="s">
        <v>18</v>
      </c>
      <c r="C252" s="50" t="s">
        <v>22</v>
      </c>
      <c r="D252" s="50" t="s">
        <v>18</v>
      </c>
      <c r="E252" s="50" t="s">
        <v>18</v>
      </c>
      <c r="F252" s="50" t="s">
        <v>18</v>
      </c>
      <c r="G252" s="50" t="s">
        <v>18</v>
      </c>
      <c r="H252" s="50" t="s">
        <v>19</v>
      </c>
      <c r="I252" s="50" t="s">
        <v>24</v>
      </c>
      <c r="J252" s="50" t="s">
        <v>18</v>
      </c>
      <c r="K252" s="50" t="s">
        <v>18</v>
      </c>
      <c r="L252" s="50" t="s">
        <v>20</v>
      </c>
      <c r="M252" s="50" t="s">
        <v>19</v>
      </c>
      <c r="N252" s="50" t="s">
        <v>18</v>
      </c>
      <c r="O252" s="50" t="s">
        <v>24</v>
      </c>
      <c r="P252" s="50" t="s">
        <v>22</v>
      </c>
      <c r="Q252" s="50" t="s">
        <v>18</v>
      </c>
      <c r="R252" s="165"/>
      <c r="S252" s="158"/>
      <c r="T252" s="1">
        <v>0</v>
      </c>
      <c r="U252" s="1">
        <f>2901-2.9</f>
        <v>2898.1</v>
      </c>
      <c r="V252" s="1">
        <f>1721.3-1721.3</f>
        <v>0</v>
      </c>
      <c r="W252" s="1">
        <v>0</v>
      </c>
      <c r="X252" s="1">
        <v>0</v>
      </c>
      <c r="Y252" s="1">
        <v>0</v>
      </c>
      <c r="Z252" s="1">
        <v>0</v>
      </c>
      <c r="AA252" s="55">
        <f t="shared" si="94"/>
        <v>2898.1</v>
      </c>
      <c r="AB252" s="54">
        <v>2019</v>
      </c>
      <c r="AC252" s="114"/>
      <c r="AD252" s="91"/>
      <c r="AE252" s="91"/>
    </row>
    <row r="253" spans="1:31" x14ac:dyDescent="0.25">
      <c r="A253" s="50" t="s">
        <v>18</v>
      </c>
      <c r="B253" s="50" t="s">
        <v>18</v>
      </c>
      <c r="C253" s="50" t="s">
        <v>22</v>
      </c>
      <c r="D253" s="50" t="s">
        <v>18</v>
      </c>
      <c r="E253" s="50" t="s">
        <v>18</v>
      </c>
      <c r="F253" s="50" t="s">
        <v>18</v>
      </c>
      <c r="G253" s="50" t="s">
        <v>18</v>
      </c>
      <c r="H253" s="50" t="s">
        <v>19</v>
      </c>
      <c r="I253" s="50" t="s">
        <v>24</v>
      </c>
      <c r="J253" s="50" t="s">
        <v>18</v>
      </c>
      <c r="K253" s="50" t="s">
        <v>18</v>
      </c>
      <c r="L253" s="50" t="s">
        <v>20</v>
      </c>
      <c r="M253" s="50" t="s">
        <v>37</v>
      </c>
      <c r="N253" s="50" t="s">
        <v>18</v>
      </c>
      <c r="O253" s="50" t="s">
        <v>24</v>
      </c>
      <c r="P253" s="50" t="s">
        <v>22</v>
      </c>
      <c r="Q253" s="50" t="s">
        <v>18</v>
      </c>
      <c r="R253" s="165"/>
      <c r="S253" s="158"/>
      <c r="T253" s="1">
        <v>0</v>
      </c>
      <c r="U253" s="1">
        <f>2375.1-28.2</f>
        <v>2346.9</v>
      </c>
      <c r="V253" s="1">
        <f>1518.9+1643.8-147.5</f>
        <v>3015.2</v>
      </c>
      <c r="W253" s="1">
        <v>0</v>
      </c>
      <c r="X253" s="1">
        <v>0</v>
      </c>
      <c r="Y253" s="1">
        <v>0</v>
      </c>
      <c r="Z253" s="1">
        <v>0</v>
      </c>
      <c r="AA253" s="55">
        <f t="shared" si="94"/>
        <v>5362.1</v>
      </c>
      <c r="AB253" s="54">
        <v>2020</v>
      </c>
      <c r="AC253" s="114"/>
      <c r="AD253" s="91"/>
      <c r="AE253" s="91"/>
    </row>
    <row r="254" spans="1:31" x14ac:dyDescent="0.25">
      <c r="A254" s="50" t="s">
        <v>18</v>
      </c>
      <c r="B254" s="50" t="s">
        <v>18</v>
      </c>
      <c r="C254" s="50" t="s">
        <v>22</v>
      </c>
      <c r="D254" s="50" t="s">
        <v>18</v>
      </c>
      <c r="E254" s="50" t="s">
        <v>18</v>
      </c>
      <c r="F254" s="50" t="s">
        <v>18</v>
      </c>
      <c r="G254" s="50" t="s">
        <v>18</v>
      </c>
      <c r="H254" s="50" t="s">
        <v>19</v>
      </c>
      <c r="I254" s="50" t="s">
        <v>24</v>
      </c>
      <c r="J254" s="50" t="s">
        <v>18</v>
      </c>
      <c r="K254" s="50" t="s">
        <v>18</v>
      </c>
      <c r="L254" s="50" t="s">
        <v>20</v>
      </c>
      <c r="M254" s="50" t="s">
        <v>37</v>
      </c>
      <c r="N254" s="50" t="s">
        <v>43</v>
      </c>
      <c r="O254" s="50" t="s">
        <v>18</v>
      </c>
      <c r="P254" s="50" t="s">
        <v>18</v>
      </c>
      <c r="Q254" s="50" t="s">
        <v>18</v>
      </c>
      <c r="R254" s="165"/>
      <c r="S254" s="158"/>
      <c r="T254" s="1">
        <v>0</v>
      </c>
      <c r="U254" s="1">
        <v>0</v>
      </c>
      <c r="V254" s="1">
        <v>0</v>
      </c>
      <c r="W254" s="1">
        <f>600-33</f>
        <v>567</v>
      </c>
      <c r="X254" s="1">
        <f>1357.3+316-31.9</f>
        <v>1641.3999999999999</v>
      </c>
      <c r="Y254" s="1">
        <v>0</v>
      </c>
      <c r="Z254" s="1">
        <v>0</v>
      </c>
      <c r="AA254" s="55">
        <f t="shared" si="94"/>
        <v>2208.3999999999996</v>
      </c>
      <c r="AB254" s="54">
        <v>2022</v>
      </c>
      <c r="AC254" s="114"/>
      <c r="AD254" s="91"/>
      <c r="AE254" s="91"/>
    </row>
    <row r="255" spans="1:31" x14ac:dyDescent="0.25">
      <c r="A255" s="50" t="s">
        <v>18</v>
      </c>
      <c r="B255" s="50" t="s">
        <v>18</v>
      </c>
      <c r="C255" s="50" t="s">
        <v>22</v>
      </c>
      <c r="D255" s="50" t="s">
        <v>18</v>
      </c>
      <c r="E255" s="50" t="s">
        <v>18</v>
      </c>
      <c r="F255" s="50" t="s">
        <v>18</v>
      </c>
      <c r="G255" s="50" t="s">
        <v>18</v>
      </c>
      <c r="H255" s="50" t="s">
        <v>19</v>
      </c>
      <c r="I255" s="50" t="s">
        <v>24</v>
      </c>
      <c r="J255" s="50" t="s">
        <v>18</v>
      </c>
      <c r="K255" s="50" t="s">
        <v>18</v>
      </c>
      <c r="L255" s="50" t="s">
        <v>20</v>
      </c>
      <c r="M255" s="50" t="s">
        <v>19</v>
      </c>
      <c r="N255" s="50" t="s">
        <v>43</v>
      </c>
      <c r="O255" s="50" t="s">
        <v>18</v>
      </c>
      <c r="P255" s="50" t="s">
        <v>18</v>
      </c>
      <c r="Q255" s="50" t="s">
        <v>18</v>
      </c>
      <c r="R255" s="165"/>
      <c r="S255" s="158"/>
      <c r="T255" s="1">
        <v>0</v>
      </c>
      <c r="U255" s="1">
        <v>0</v>
      </c>
      <c r="V255" s="1">
        <v>0</v>
      </c>
      <c r="W255" s="1">
        <v>600</v>
      </c>
      <c r="X255" s="1">
        <v>2659.4</v>
      </c>
      <c r="Y255" s="1">
        <v>0</v>
      </c>
      <c r="Z255" s="1">
        <v>0</v>
      </c>
      <c r="AA255" s="55">
        <f t="shared" si="94"/>
        <v>3259.4</v>
      </c>
      <c r="AB255" s="54">
        <v>2022</v>
      </c>
      <c r="AC255" s="114"/>
      <c r="AD255" s="91"/>
      <c r="AE255" s="91"/>
    </row>
    <row r="256" spans="1:31" x14ac:dyDescent="0.25">
      <c r="A256" s="50" t="s">
        <v>18</v>
      </c>
      <c r="B256" s="50" t="s">
        <v>18</v>
      </c>
      <c r="C256" s="50" t="s">
        <v>22</v>
      </c>
      <c r="D256" s="50" t="s">
        <v>18</v>
      </c>
      <c r="E256" s="50" t="s">
        <v>18</v>
      </c>
      <c r="F256" s="50" t="s">
        <v>18</v>
      </c>
      <c r="G256" s="50" t="s">
        <v>18</v>
      </c>
      <c r="H256" s="50" t="s">
        <v>19</v>
      </c>
      <c r="I256" s="50" t="s">
        <v>24</v>
      </c>
      <c r="J256" s="50" t="s">
        <v>18</v>
      </c>
      <c r="K256" s="50" t="s">
        <v>18</v>
      </c>
      <c r="L256" s="50" t="s">
        <v>20</v>
      </c>
      <c r="M256" s="50" t="s">
        <v>37</v>
      </c>
      <c r="N256" s="50" t="s">
        <v>43</v>
      </c>
      <c r="O256" s="50" t="s">
        <v>46</v>
      </c>
      <c r="P256" s="50" t="s">
        <v>18</v>
      </c>
      <c r="Q256" s="50" t="s">
        <v>18</v>
      </c>
      <c r="R256" s="166"/>
      <c r="S256" s="159"/>
      <c r="T256" s="1">
        <v>0</v>
      </c>
      <c r="U256" s="1">
        <v>0</v>
      </c>
      <c r="V256" s="1">
        <v>0</v>
      </c>
      <c r="W256" s="1">
        <v>659.6</v>
      </c>
      <c r="X256" s="1">
        <v>1302.2</v>
      </c>
      <c r="Y256" s="1">
        <v>0</v>
      </c>
      <c r="Z256" s="1">
        <v>0</v>
      </c>
      <c r="AA256" s="55">
        <f>SUM(T256:Z256)</f>
        <v>1961.8000000000002</v>
      </c>
      <c r="AB256" s="54">
        <v>2022</v>
      </c>
      <c r="AC256" s="114"/>
      <c r="AD256" s="91"/>
      <c r="AE256" s="91"/>
    </row>
    <row r="257" spans="1:31" ht="47.25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69" t="s">
        <v>234</v>
      </c>
      <c r="S257" s="57" t="s">
        <v>52</v>
      </c>
      <c r="T257" s="3">
        <v>8.8000000000000007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6">
        <f>SUM(T257:Z257)</f>
        <v>8.8000000000000007</v>
      </c>
      <c r="AB257" s="39">
        <v>2018</v>
      </c>
      <c r="AC257" s="118"/>
      <c r="AD257" s="91"/>
      <c r="AE257" s="91"/>
    </row>
    <row r="258" spans="1:31" ht="33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71" t="s">
        <v>277</v>
      </c>
      <c r="S258" s="57" t="s">
        <v>52</v>
      </c>
      <c r="T258" s="3">
        <v>0</v>
      </c>
      <c r="U258" s="3">
        <v>1</v>
      </c>
      <c r="V258" s="3">
        <v>1.1000000000000001</v>
      </c>
      <c r="W258" s="3">
        <v>0.9</v>
      </c>
      <c r="X258" s="3">
        <v>1.1000000000000001</v>
      </c>
      <c r="Y258" s="3">
        <v>0</v>
      </c>
      <c r="Z258" s="3">
        <v>0</v>
      </c>
      <c r="AA258" s="6">
        <f t="shared" ref="AA258" si="95">SUM(T258:Z258)</f>
        <v>4.0999999999999996</v>
      </c>
      <c r="AB258" s="39">
        <v>2022</v>
      </c>
      <c r="AC258" s="118"/>
      <c r="AD258" s="91"/>
      <c r="AE258" s="91"/>
    </row>
    <row r="259" spans="1:31" ht="47.25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69" t="s">
        <v>278</v>
      </c>
      <c r="S259" s="75" t="s">
        <v>50</v>
      </c>
      <c r="T259" s="42">
        <v>3</v>
      </c>
      <c r="U259" s="42">
        <v>6</v>
      </c>
      <c r="V259" s="42">
        <v>4</v>
      </c>
      <c r="W259" s="42">
        <v>1</v>
      </c>
      <c r="X259" s="42">
        <v>2</v>
      </c>
      <c r="Y259" s="42">
        <v>0</v>
      </c>
      <c r="Z259" s="42">
        <v>0</v>
      </c>
      <c r="AA259" s="45">
        <f>SUM(T259:Z259)</f>
        <v>16</v>
      </c>
      <c r="AB259" s="39">
        <v>2022</v>
      </c>
      <c r="AC259" s="118"/>
      <c r="AD259" s="91"/>
      <c r="AE259" s="91"/>
    </row>
    <row r="260" spans="1:31" ht="15.6" hidden="1" customHeight="1" x14ac:dyDescent="0.2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163" t="s">
        <v>180</v>
      </c>
      <c r="S260" s="58" t="s">
        <v>0</v>
      </c>
      <c r="T260" s="1">
        <f>SUM(T261:T263)</f>
        <v>998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5">
        <f t="shared" ref="AA260:AA364" si="96">SUM(T260:Y260)</f>
        <v>998</v>
      </c>
      <c r="AB260" s="54">
        <v>2018</v>
      </c>
      <c r="AC260" s="78"/>
      <c r="AD260" s="91" t="e">
        <f>T261+T266+T271+T277+T283+T290+T308+T314+T319+T324+T329+T334+T353+T359+T366+T373+T380+T387+T394+T401+T408+T415+T421+T427+#REF!+#REF!+#REF!+#REF!+#REF!+#REF!+#REF!+#REF!+#REF!+#REF!+#REF!</f>
        <v>#REF!</v>
      </c>
      <c r="AE260" s="91"/>
    </row>
    <row r="261" spans="1:31" ht="15.6" hidden="1" customHeight="1" x14ac:dyDescent="0.25">
      <c r="A261" s="50" t="s">
        <v>18</v>
      </c>
      <c r="B261" s="50" t="s">
        <v>18</v>
      </c>
      <c r="C261" s="50" t="s">
        <v>22</v>
      </c>
      <c r="D261" s="50" t="s">
        <v>18</v>
      </c>
      <c r="E261" s="50" t="s">
        <v>21</v>
      </c>
      <c r="F261" s="50" t="s">
        <v>18</v>
      </c>
      <c r="G261" s="50" t="s">
        <v>22</v>
      </c>
      <c r="H261" s="50" t="s">
        <v>19</v>
      </c>
      <c r="I261" s="50" t="s">
        <v>24</v>
      </c>
      <c r="J261" s="50" t="s">
        <v>18</v>
      </c>
      <c r="K261" s="50" t="s">
        <v>18</v>
      </c>
      <c r="L261" s="50" t="s">
        <v>20</v>
      </c>
      <c r="M261" s="50" t="s">
        <v>19</v>
      </c>
      <c r="N261" s="50" t="s">
        <v>18</v>
      </c>
      <c r="O261" s="50" t="s">
        <v>24</v>
      </c>
      <c r="P261" s="50" t="s">
        <v>22</v>
      </c>
      <c r="Q261" s="50" t="s">
        <v>45</v>
      </c>
      <c r="R261" s="163"/>
      <c r="S261" s="58" t="s">
        <v>0</v>
      </c>
      <c r="T261" s="1">
        <v>399.2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5">
        <f t="shared" si="96"/>
        <v>399.2</v>
      </c>
      <c r="AB261" s="54">
        <v>2018</v>
      </c>
      <c r="AC261" s="9"/>
      <c r="AD261" s="91" t="e">
        <f>T262+T267+T272+T273+T278+T279+T284+T285+T291+T292+T310+T315+T320+T325+T330+T335+T355+T354+T362+T361+T369+T368+T376+T375+T383+T382+T390+T389+T397+T396+T403+T404+T410+T417+T423+T429+T430+#REF!+#REF!+#REF!+#REF!+#REF!+#REF!+#REF!+#REF!+#REF!+#REF!+#REF!+#REF!+#REF!+#REF!+#REF!+#REF!+#REF!+#REF!+#REF!+#REF!+#REF!+T411</f>
        <v>#REF!</v>
      </c>
      <c r="AE261" s="91"/>
    </row>
    <row r="262" spans="1:31" ht="15.6" hidden="1" customHeight="1" x14ac:dyDescent="0.25">
      <c r="A262" s="50" t="s">
        <v>18</v>
      </c>
      <c r="B262" s="50" t="s">
        <v>18</v>
      </c>
      <c r="C262" s="50" t="s">
        <v>22</v>
      </c>
      <c r="D262" s="50" t="s">
        <v>18</v>
      </c>
      <c r="E262" s="50" t="s">
        <v>21</v>
      </c>
      <c r="F262" s="50" t="s">
        <v>18</v>
      </c>
      <c r="G262" s="50" t="s">
        <v>22</v>
      </c>
      <c r="H262" s="50" t="s">
        <v>19</v>
      </c>
      <c r="I262" s="50" t="s">
        <v>24</v>
      </c>
      <c r="J262" s="50" t="s">
        <v>18</v>
      </c>
      <c r="K262" s="50" t="s">
        <v>18</v>
      </c>
      <c r="L262" s="50" t="s">
        <v>20</v>
      </c>
      <c r="M262" s="50" t="s">
        <v>37</v>
      </c>
      <c r="N262" s="50" t="s">
        <v>18</v>
      </c>
      <c r="O262" s="50" t="s">
        <v>24</v>
      </c>
      <c r="P262" s="50" t="s">
        <v>22</v>
      </c>
      <c r="Q262" s="50" t="s">
        <v>46</v>
      </c>
      <c r="R262" s="163"/>
      <c r="S262" s="58" t="s">
        <v>0</v>
      </c>
      <c r="T262" s="1">
        <v>199.6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5">
        <f t="shared" si="96"/>
        <v>199.6</v>
      </c>
      <c r="AB262" s="54">
        <v>2018</v>
      </c>
      <c r="AC262" s="9"/>
      <c r="AD262" s="91" t="e">
        <f>T263+T268+T274+T280+T286+T293+T311+T316+T321+T326+T331+T336+T356+T363+T370+T377+T384+T391+T398+T405+T412+T418+T424+T431+#REF!+#REF!+#REF!+#REF!+#REF!+#REF!+#REF!+#REF!+#REF!+#REF!+#REF!</f>
        <v>#REF!</v>
      </c>
      <c r="AE262" s="91"/>
    </row>
    <row r="263" spans="1:31" ht="15.6" hidden="1" customHeight="1" x14ac:dyDescent="0.25">
      <c r="A263" s="50" t="s">
        <v>18</v>
      </c>
      <c r="B263" s="50" t="s">
        <v>18</v>
      </c>
      <c r="C263" s="50" t="s">
        <v>22</v>
      </c>
      <c r="D263" s="50" t="s">
        <v>18</v>
      </c>
      <c r="E263" s="50" t="s">
        <v>21</v>
      </c>
      <c r="F263" s="50" t="s">
        <v>18</v>
      </c>
      <c r="G263" s="50" t="s">
        <v>22</v>
      </c>
      <c r="H263" s="50" t="s">
        <v>19</v>
      </c>
      <c r="I263" s="50" t="s">
        <v>24</v>
      </c>
      <c r="J263" s="50" t="s">
        <v>18</v>
      </c>
      <c r="K263" s="50" t="s">
        <v>18</v>
      </c>
      <c r="L263" s="50" t="s">
        <v>20</v>
      </c>
      <c r="M263" s="50" t="s">
        <v>37</v>
      </c>
      <c r="N263" s="50" t="s">
        <v>18</v>
      </c>
      <c r="O263" s="50" t="s">
        <v>24</v>
      </c>
      <c r="P263" s="50" t="s">
        <v>22</v>
      </c>
      <c r="Q263" s="50" t="s">
        <v>39</v>
      </c>
      <c r="R263" s="163"/>
      <c r="S263" s="58" t="s">
        <v>0</v>
      </c>
      <c r="T263" s="1">
        <v>399.2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5">
        <f t="shared" si="96"/>
        <v>399.2</v>
      </c>
      <c r="AB263" s="54">
        <v>2018</v>
      </c>
      <c r="AC263" s="9"/>
      <c r="AD263" s="91">
        <f>T309+T360+T367+T374+T381+T388+T395+T402+T409+T416+T422+T428</f>
        <v>380</v>
      </c>
      <c r="AE263" s="91"/>
    </row>
    <row r="264" spans="1:31" ht="31.15" hidden="1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71" t="s">
        <v>181</v>
      </c>
      <c r="S264" s="75" t="s">
        <v>167</v>
      </c>
      <c r="T264" s="3">
        <v>8750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6">
        <f t="shared" si="96"/>
        <v>8750</v>
      </c>
      <c r="AB264" s="39">
        <v>2018</v>
      </c>
      <c r="AC264" s="9"/>
      <c r="AD264" s="91" t="e">
        <f>SUM(AD260:AD263)</f>
        <v>#REF!</v>
      </c>
      <c r="AE264" s="91"/>
    </row>
    <row r="265" spans="1:31" ht="15.6" hidden="1" customHeight="1" x14ac:dyDescent="0.2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163" t="s">
        <v>182</v>
      </c>
      <c r="S265" s="58" t="s">
        <v>0</v>
      </c>
      <c r="T265" s="1">
        <f>SUM(T266:T268)</f>
        <v>150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5">
        <f t="shared" si="96"/>
        <v>150</v>
      </c>
      <c r="AB265" s="54">
        <v>2018</v>
      </c>
      <c r="AC265" s="9"/>
      <c r="AD265" s="91"/>
      <c r="AE265" s="91"/>
    </row>
    <row r="266" spans="1:31" ht="15.6" hidden="1" customHeight="1" x14ac:dyDescent="0.25">
      <c r="A266" s="50" t="s">
        <v>18</v>
      </c>
      <c r="B266" s="50" t="s">
        <v>18</v>
      </c>
      <c r="C266" s="50" t="s">
        <v>22</v>
      </c>
      <c r="D266" s="50" t="s">
        <v>18</v>
      </c>
      <c r="E266" s="50" t="s">
        <v>21</v>
      </c>
      <c r="F266" s="50" t="s">
        <v>18</v>
      </c>
      <c r="G266" s="50" t="s">
        <v>22</v>
      </c>
      <c r="H266" s="50" t="s">
        <v>19</v>
      </c>
      <c r="I266" s="50" t="s">
        <v>24</v>
      </c>
      <c r="J266" s="50" t="s">
        <v>18</v>
      </c>
      <c r="K266" s="50" t="s">
        <v>18</v>
      </c>
      <c r="L266" s="50" t="s">
        <v>20</v>
      </c>
      <c r="M266" s="50" t="s">
        <v>19</v>
      </c>
      <c r="N266" s="50" t="s">
        <v>18</v>
      </c>
      <c r="O266" s="50" t="s">
        <v>24</v>
      </c>
      <c r="P266" s="50" t="s">
        <v>22</v>
      </c>
      <c r="Q266" s="50" t="s">
        <v>45</v>
      </c>
      <c r="R266" s="163"/>
      <c r="S266" s="58" t="s">
        <v>0</v>
      </c>
      <c r="T266" s="1">
        <v>60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55">
        <f t="shared" si="96"/>
        <v>60</v>
      </c>
      <c r="AB266" s="54">
        <v>2018</v>
      </c>
      <c r="AC266" s="9"/>
      <c r="AD266" s="91"/>
      <c r="AE266" s="91"/>
    </row>
    <row r="267" spans="1:31" ht="15.6" hidden="1" customHeight="1" x14ac:dyDescent="0.25">
      <c r="A267" s="50" t="s">
        <v>18</v>
      </c>
      <c r="B267" s="50" t="s">
        <v>18</v>
      </c>
      <c r="C267" s="50" t="s">
        <v>22</v>
      </c>
      <c r="D267" s="50" t="s">
        <v>18</v>
      </c>
      <c r="E267" s="50" t="s">
        <v>21</v>
      </c>
      <c r="F267" s="50" t="s">
        <v>18</v>
      </c>
      <c r="G267" s="50" t="s">
        <v>22</v>
      </c>
      <c r="H267" s="50" t="s">
        <v>19</v>
      </c>
      <c r="I267" s="50" t="s">
        <v>24</v>
      </c>
      <c r="J267" s="50" t="s">
        <v>18</v>
      </c>
      <c r="K267" s="50" t="s">
        <v>18</v>
      </c>
      <c r="L267" s="50" t="s">
        <v>20</v>
      </c>
      <c r="M267" s="50" t="s">
        <v>37</v>
      </c>
      <c r="N267" s="50" t="s">
        <v>18</v>
      </c>
      <c r="O267" s="50" t="s">
        <v>24</v>
      </c>
      <c r="P267" s="50" t="s">
        <v>22</v>
      </c>
      <c r="Q267" s="50" t="s">
        <v>46</v>
      </c>
      <c r="R267" s="163"/>
      <c r="S267" s="58" t="s">
        <v>0</v>
      </c>
      <c r="T267" s="1">
        <v>30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5">
        <f t="shared" si="96"/>
        <v>30</v>
      </c>
      <c r="AB267" s="54">
        <v>2018</v>
      </c>
      <c r="AC267" s="9"/>
      <c r="AD267" s="91"/>
      <c r="AE267" s="91"/>
    </row>
    <row r="268" spans="1:31" ht="15.6" hidden="1" customHeight="1" x14ac:dyDescent="0.25">
      <c r="A268" s="50" t="s">
        <v>18</v>
      </c>
      <c r="B268" s="50" t="s">
        <v>18</v>
      </c>
      <c r="C268" s="50" t="s">
        <v>22</v>
      </c>
      <c r="D268" s="50" t="s">
        <v>18</v>
      </c>
      <c r="E268" s="50" t="s">
        <v>21</v>
      </c>
      <c r="F268" s="50" t="s">
        <v>18</v>
      </c>
      <c r="G268" s="50" t="s">
        <v>22</v>
      </c>
      <c r="H268" s="50" t="s">
        <v>19</v>
      </c>
      <c r="I268" s="50" t="s">
        <v>24</v>
      </c>
      <c r="J268" s="50" t="s">
        <v>18</v>
      </c>
      <c r="K268" s="50" t="s">
        <v>18</v>
      </c>
      <c r="L268" s="50" t="s">
        <v>20</v>
      </c>
      <c r="M268" s="50" t="s">
        <v>37</v>
      </c>
      <c r="N268" s="50" t="s">
        <v>18</v>
      </c>
      <c r="O268" s="50" t="s">
        <v>24</v>
      </c>
      <c r="P268" s="50" t="s">
        <v>22</v>
      </c>
      <c r="Q268" s="50" t="s">
        <v>39</v>
      </c>
      <c r="R268" s="163"/>
      <c r="S268" s="58" t="s">
        <v>0</v>
      </c>
      <c r="T268" s="1">
        <v>60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5">
        <f t="shared" si="96"/>
        <v>60</v>
      </c>
      <c r="AB268" s="54">
        <v>2018</v>
      </c>
      <c r="AC268" s="9"/>
      <c r="AD268" s="91"/>
      <c r="AE268" s="91"/>
    </row>
    <row r="269" spans="1:31" ht="46.9" hidden="1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71" t="s">
        <v>183</v>
      </c>
      <c r="S269" s="75" t="s">
        <v>50</v>
      </c>
      <c r="T269" s="42">
        <v>7</v>
      </c>
      <c r="U269" s="42">
        <v>0</v>
      </c>
      <c r="V269" s="42">
        <v>0</v>
      </c>
      <c r="W269" s="42">
        <v>0</v>
      </c>
      <c r="X269" s="42">
        <v>0</v>
      </c>
      <c r="Y269" s="42">
        <v>0</v>
      </c>
      <c r="Z269" s="42">
        <v>0</v>
      </c>
      <c r="AA269" s="45">
        <f t="shared" si="96"/>
        <v>7</v>
      </c>
      <c r="AB269" s="39">
        <v>2018</v>
      </c>
      <c r="AC269" s="9"/>
      <c r="AD269" s="91"/>
      <c r="AE269" s="91"/>
    </row>
    <row r="270" spans="1:31" ht="15.6" hidden="1" customHeight="1" x14ac:dyDescent="0.2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163" t="s">
        <v>184</v>
      </c>
      <c r="S270" s="58" t="s">
        <v>0</v>
      </c>
      <c r="T270" s="1">
        <f>SUM(T271:T274)</f>
        <v>1031.5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5">
        <f t="shared" si="96"/>
        <v>1031.5</v>
      </c>
      <c r="AB270" s="54">
        <v>2018</v>
      </c>
      <c r="AC270" s="9"/>
      <c r="AD270" s="91"/>
      <c r="AE270" s="91"/>
    </row>
    <row r="271" spans="1:31" ht="15.6" hidden="1" customHeight="1" x14ac:dyDescent="0.25">
      <c r="A271" s="50" t="s">
        <v>18</v>
      </c>
      <c r="B271" s="50" t="s">
        <v>18</v>
      </c>
      <c r="C271" s="50" t="s">
        <v>22</v>
      </c>
      <c r="D271" s="50" t="s">
        <v>18</v>
      </c>
      <c r="E271" s="50" t="s">
        <v>21</v>
      </c>
      <c r="F271" s="50" t="s">
        <v>18</v>
      </c>
      <c r="G271" s="50" t="s">
        <v>22</v>
      </c>
      <c r="H271" s="50" t="s">
        <v>19</v>
      </c>
      <c r="I271" s="50" t="s">
        <v>24</v>
      </c>
      <c r="J271" s="50" t="s">
        <v>18</v>
      </c>
      <c r="K271" s="50" t="s">
        <v>18</v>
      </c>
      <c r="L271" s="50" t="s">
        <v>20</v>
      </c>
      <c r="M271" s="50" t="s">
        <v>19</v>
      </c>
      <c r="N271" s="50" t="s">
        <v>18</v>
      </c>
      <c r="O271" s="50" t="s">
        <v>24</v>
      </c>
      <c r="P271" s="50" t="s">
        <v>22</v>
      </c>
      <c r="Q271" s="50" t="s">
        <v>45</v>
      </c>
      <c r="R271" s="163"/>
      <c r="S271" s="58" t="s">
        <v>0</v>
      </c>
      <c r="T271" s="1">
        <v>400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5">
        <f t="shared" si="96"/>
        <v>400</v>
      </c>
      <c r="AB271" s="54">
        <v>2018</v>
      </c>
      <c r="AC271" s="9"/>
      <c r="AD271" s="91"/>
      <c r="AE271" s="91"/>
    </row>
    <row r="272" spans="1:31" ht="15.6" hidden="1" customHeight="1" x14ac:dyDescent="0.25">
      <c r="A272" s="50" t="s">
        <v>18</v>
      </c>
      <c r="B272" s="50" t="s">
        <v>18</v>
      </c>
      <c r="C272" s="50" t="s">
        <v>22</v>
      </c>
      <c r="D272" s="50" t="s">
        <v>18</v>
      </c>
      <c r="E272" s="50" t="s">
        <v>21</v>
      </c>
      <c r="F272" s="50" t="s">
        <v>18</v>
      </c>
      <c r="G272" s="50" t="s">
        <v>22</v>
      </c>
      <c r="H272" s="50" t="s">
        <v>19</v>
      </c>
      <c r="I272" s="50" t="s">
        <v>24</v>
      </c>
      <c r="J272" s="50" t="s">
        <v>18</v>
      </c>
      <c r="K272" s="50" t="s">
        <v>18</v>
      </c>
      <c r="L272" s="50" t="s">
        <v>20</v>
      </c>
      <c r="M272" s="50" t="s">
        <v>37</v>
      </c>
      <c r="N272" s="50" t="s">
        <v>18</v>
      </c>
      <c r="O272" s="50" t="s">
        <v>24</v>
      </c>
      <c r="P272" s="50" t="s">
        <v>22</v>
      </c>
      <c r="Q272" s="50" t="s">
        <v>46</v>
      </c>
      <c r="R272" s="163"/>
      <c r="S272" s="58" t="s">
        <v>0</v>
      </c>
      <c r="T272" s="1">
        <v>2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55">
        <f t="shared" si="96"/>
        <v>2</v>
      </c>
      <c r="AB272" s="54">
        <v>2018</v>
      </c>
      <c r="AC272" s="9"/>
      <c r="AD272" s="91"/>
      <c r="AE272" s="91"/>
    </row>
    <row r="273" spans="1:31" ht="15.6" hidden="1" customHeight="1" x14ac:dyDescent="0.25">
      <c r="A273" s="50" t="s">
        <v>18</v>
      </c>
      <c r="B273" s="50" t="s">
        <v>18</v>
      </c>
      <c r="C273" s="50" t="s">
        <v>22</v>
      </c>
      <c r="D273" s="50" t="s">
        <v>18</v>
      </c>
      <c r="E273" s="50" t="s">
        <v>21</v>
      </c>
      <c r="F273" s="50" t="s">
        <v>18</v>
      </c>
      <c r="G273" s="50" t="s">
        <v>22</v>
      </c>
      <c r="H273" s="50" t="s">
        <v>19</v>
      </c>
      <c r="I273" s="50" t="s">
        <v>24</v>
      </c>
      <c r="J273" s="50" t="s">
        <v>18</v>
      </c>
      <c r="K273" s="50" t="s">
        <v>18</v>
      </c>
      <c r="L273" s="50" t="s">
        <v>20</v>
      </c>
      <c r="M273" s="50" t="s">
        <v>37</v>
      </c>
      <c r="N273" s="50" t="s">
        <v>18</v>
      </c>
      <c r="O273" s="50" t="s">
        <v>24</v>
      </c>
      <c r="P273" s="50" t="s">
        <v>22</v>
      </c>
      <c r="Q273" s="50" t="s">
        <v>46</v>
      </c>
      <c r="R273" s="163"/>
      <c r="S273" s="58" t="s">
        <v>0</v>
      </c>
      <c r="T273" s="1">
        <v>229.5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5">
        <f t="shared" si="96"/>
        <v>229.5</v>
      </c>
      <c r="AB273" s="54">
        <v>2018</v>
      </c>
      <c r="AC273" s="9"/>
      <c r="AD273" s="91"/>
      <c r="AE273" s="91"/>
    </row>
    <row r="274" spans="1:31" ht="15.6" hidden="1" customHeight="1" x14ac:dyDescent="0.25">
      <c r="A274" s="50" t="s">
        <v>18</v>
      </c>
      <c r="B274" s="50" t="s">
        <v>18</v>
      </c>
      <c r="C274" s="50" t="s">
        <v>22</v>
      </c>
      <c r="D274" s="50" t="s">
        <v>18</v>
      </c>
      <c r="E274" s="50" t="s">
        <v>21</v>
      </c>
      <c r="F274" s="50" t="s">
        <v>18</v>
      </c>
      <c r="G274" s="50" t="s">
        <v>22</v>
      </c>
      <c r="H274" s="50" t="s">
        <v>19</v>
      </c>
      <c r="I274" s="50" t="s">
        <v>24</v>
      </c>
      <c r="J274" s="50" t="s">
        <v>18</v>
      </c>
      <c r="K274" s="50" t="s">
        <v>18</v>
      </c>
      <c r="L274" s="50" t="s">
        <v>20</v>
      </c>
      <c r="M274" s="50" t="s">
        <v>37</v>
      </c>
      <c r="N274" s="50" t="s">
        <v>18</v>
      </c>
      <c r="O274" s="50" t="s">
        <v>24</v>
      </c>
      <c r="P274" s="50" t="s">
        <v>22</v>
      </c>
      <c r="Q274" s="50" t="s">
        <v>39</v>
      </c>
      <c r="R274" s="163"/>
      <c r="S274" s="58" t="s">
        <v>0</v>
      </c>
      <c r="T274" s="1">
        <v>400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5">
        <f t="shared" si="96"/>
        <v>400</v>
      </c>
      <c r="AB274" s="54">
        <v>2018</v>
      </c>
      <c r="AC274" s="9"/>
      <c r="AD274" s="91"/>
      <c r="AE274" s="91"/>
    </row>
    <row r="275" spans="1:31" ht="45.6" hidden="1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71" t="s">
        <v>185</v>
      </c>
      <c r="S275" s="75" t="s">
        <v>50</v>
      </c>
      <c r="T275" s="42">
        <v>44</v>
      </c>
      <c r="U275" s="42">
        <v>0</v>
      </c>
      <c r="V275" s="42">
        <v>0</v>
      </c>
      <c r="W275" s="42">
        <v>0</v>
      </c>
      <c r="X275" s="42">
        <v>0</v>
      </c>
      <c r="Y275" s="42">
        <v>0</v>
      </c>
      <c r="Z275" s="42">
        <v>0</v>
      </c>
      <c r="AA275" s="45">
        <f t="shared" si="96"/>
        <v>44</v>
      </c>
      <c r="AB275" s="39">
        <v>2018</v>
      </c>
      <c r="AC275" s="9"/>
      <c r="AD275" s="91"/>
      <c r="AE275" s="91"/>
    </row>
    <row r="276" spans="1:31" ht="15.6" hidden="1" customHeight="1" x14ac:dyDescent="0.2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163" t="s">
        <v>186</v>
      </c>
      <c r="S276" s="58" t="s">
        <v>0</v>
      </c>
      <c r="T276" s="1">
        <f>SUM(T277:T280)</f>
        <v>613.5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5">
        <f t="shared" si="96"/>
        <v>613.5</v>
      </c>
      <c r="AB276" s="54">
        <v>2018</v>
      </c>
      <c r="AC276" s="9"/>
      <c r="AD276" s="91"/>
      <c r="AE276" s="91"/>
    </row>
    <row r="277" spans="1:31" ht="15.6" hidden="1" customHeight="1" x14ac:dyDescent="0.25">
      <c r="A277" s="50" t="s">
        <v>18</v>
      </c>
      <c r="B277" s="50" t="s">
        <v>18</v>
      </c>
      <c r="C277" s="50" t="s">
        <v>22</v>
      </c>
      <c r="D277" s="50" t="s">
        <v>18</v>
      </c>
      <c r="E277" s="50" t="s">
        <v>21</v>
      </c>
      <c r="F277" s="50" t="s">
        <v>18</v>
      </c>
      <c r="G277" s="50" t="s">
        <v>22</v>
      </c>
      <c r="H277" s="50" t="s">
        <v>19</v>
      </c>
      <c r="I277" s="50" t="s">
        <v>24</v>
      </c>
      <c r="J277" s="50" t="s">
        <v>18</v>
      </c>
      <c r="K277" s="50" t="s">
        <v>18</v>
      </c>
      <c r="L277" s="50" t="s">
        <v>20</v>
      </c>
      <c r="M277" s="50" t="s">
        <v>19</v>
      </c>
      <c r="N277" s="50" t="s">
        <v>18</v>
      </c>
      <c r="O277" s="50" t="s">
        <v>24</v>
      </c>
      <c r="P277" s="50" t="s">
        <v>22</v>
      </c>
      <c r="Q277" s="50" t="s">
        <v>45</v>
      </c>
      <c r="R277" s="163"/>
      <c r="S277" s="58" t="s">
        <v>0</v>
      </c>
      <c r="T277" s="1">
        <v>245.4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5">
        <f t="shared" si="96"/>
        <v>245.4</v>
      </c>
      <c r="AB277" s="54">
        <v>2018</v>
      </c>
      <c r="AC277" s="9"/>
      <c r="AD277" s="91"/>
      <c r="AE277" s="91"/>
    </row>
    <row r="278" spans="1:31" ht="15.6" hidden="1" customHeight="1" x14ac:dyDescent="0.25">
      <c r="A278" s="50" t="s">
        <v>18</v>
      </c>
      <c r="B278" s="50" t="s">
        <v>18</v>
      </c>
      <c r="C278" s="50" t="s">
        <v>22</v>
      </c>
      <c r="D278" s="50" t="s">
        <v>18</v>
      </c>
      <c r="E278" s="50" t="s">
        <v>21</v>
      </c>
      <c r="F278" s="50" t="s">
        <v>18</v>
      </c>
      <c r="G278" s="50" t="s">
        <v>22</v>
      </c>
      <c r="H278" s="50" t="s">
        <v>19</v>
      </c>
      <c r="I278" s="50" t="s">
        <v>24</v>
      </c>
      <c r="J278" s="50" t="s">
        <v>18</v>
      </c>
      <c r="K278" s="50" t="s">
        <v>18</v>
      </c>
      <c r="L278" s="50" t="s">
        <v>20</v>
      </c>
      <c r="M278" s="50" t="s">
        <v>37</v>
      </c>
      <c r="N278" s="50" t="s">
        <v>18</v>
      </c>
      <c r="O278" s="50" t="s">
        <v>24</v>
      </c>
      <c r="P278" s="50" t="s">
        <v>22</v>
      </c>
      <c r="Q278" s="50" t="s">
        <v>46</v>
      </c>
      <c r="R278" s="163"/>
      <c r="S278" s="58" t="s">
        <v>0</v>
      </c>
      <c r="T278" s="1">
        <v>60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5">
        <f t="shared" si="96"/>
        <v>60</v>
      </c>
      <c r="AB278" s="54">
        <v>2018</v>
      </c>
      <c r="AC278" s="9"/>
      <c r="AD278" s="91"/>
      <c r="AE278" s="91"/>
    </row>
    <row r="279" spans="1:31" ht="15.6" hidden="1" customHeight="1" x14ac:dyDescent="0.25">
      <c r="A279" s="50" t="s">
        <v>18</v>
      </c>
      <c r="B279" s="50" t="s">
        <v>18</v>
      </c>
      <c r="C279" s="50" t="s">
        <v>22</v>
      </c>
      <c r="D279" s="50" t="s">
        <v>18</v>
      </c>
      <c r="E279" s="50" t="s">
        <v>21</v>
      </c>
      <c r="F279" s="50" t="s">
        <v>18</v>
      </c>
      <c r="G279" s="50" t="s">
        <v>22</v>
      </c>
      <c r="H279" s="50" t="s">
        <v>19</v>
      </c>
      <c r="I279" s="50" t="s">
        <v>24</v>
      </c>
      <c r="J279" s="50" t="s">
        <v>18</v>
      </c>
      <c r="K279" s="50" t="s">
        <v>18</v>
      </c>
      <c r="L279" s="50" t="s">
        <v>20</v>
      </c>
      <c r="M279" s="50" t="s">
        <v>37</v>
      </c>
      <c r="N279" s="50" t="s">
        <v>18</v>
      </c>
      <c r="O279" s="50" t="s">
        <v>24</v>
      </c>
      <c r="P279" s="50" t="s">
        <v>22</v>
      </c>
      <c r="Q279" s="50" t="s">
        <v>46</v>
      </c>
      <c r="R279" s="163"/>
      <c r="S279" s="58" t="s">
        <v>0</v>
      </c>
      <c r="T279" s="1">
        <v>62.7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55">
        <f t="shared" si="96"/>
        <v>62.7</v>
      </c>
      <c r="AB279" s="54">
        <v>2018</v>
      </c>
      <c r="AC279" s="9"/>
      <c r="AD279" s="91"/>
      <c r="AE279" s="91"/>
    </row>
    <row r="280" spans="1:31" ht="15.6" hidden="1" customHeight="1" x14ac:dyDescent="0.25">
      <c r="A280" s="50" t="s">
        <v>18</v>
      </c>
      <c r="B280" s="50" t="s">
        <v>18</v>
      </c>
      <c r="C280" s="50" t="s">
        <v>22</v>
      </c>
      <c r="D280" s="50" t="s">
        <v>18</v>
      </c>
      <c r="E280" s="50" t="s">
        <v>21</v>
      </c>
      <c r="F280" s="50" t="s">
        <v>18</v>
      </c>
      <c r="G280" s="50" t="s">
        <v>22</v>
      </c>
      <c r="H280" s="50" t="s">
        <v>19</v>
      </c>
      <c r="I280" s="50" t="s">
        <v>24</v>
      </c>
      <c r="J280" s="50" t="s">
        <v>18</v>
      </c>
      <c r="K280" s="50" t="s">
        <v>18</v>
      </c>
      <c r="L280" s="50" t="s">
        <v>20</v>
      </c>
      <c r="M280" s="50" t="s">
        <v>37</v>
      </c>
      <c r="N280" s="50" t="s">
        <v>18</v>
      </c>
      <c r="O280" s="50" t="s">
        <v>24</v>
      </c>
      <c r="P280" s="50" t="s">
        <v>22</v>
      </c>
      <c r="Q280" s="50" t="s">
        <v>39</v>
      </c>
      <c r="R280" s="163"/>
      <c r="S280" s="58" t="s">
        <v>0</v>
      </c>
      <c r="T280" s="1">
        <v>245.4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5">
        <f t="shared" si="96"/>
        <v>245.4</v>
      </c>
      <c r="AB280" s="54">
        <v>2018</v>
      </c>
      <c r="AC280" s="9"/>
      <c r="AD280" s="91"/>
      <c r="AE280" s="91"/>
    </row>
    <row r="281" spans="1:31" ht="46.9" hidden="1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71" t="s">
        <v>187</v>
      </c>
      <c r="S281" s="75" t="s">
        <v>50</v>
      </c>
      <c r="T281" s="42">
        <v>26</v>
      </c>
      <c r="U281" s="42">
        <v>0</v>
      </c>
      <c r="V281" s="42">
        <v>0</v>
      </c>
      <c r="W281" s="42">
        <v>0</v>
      </c>
      <c r="X281" s="42">
        <v>0</v>
      </c>
      <c r="Y281" s="42">
        <v>0</v>
      </c>
      <c r="Z281" s="42">
        <v>0</v>
      </c>
      <c r="AA281" s="45">
        <f t="shared" si="96"/>
        <v>26</v>
      </c>
      <c r="AB281" s="39">
        <v>2018</v>
      </c>
      <c r="AC281" s="9"/>
      <c r="AD281" s="91"/>
      <c r="AE281" s="91"/>
    </row>
    <row r="282" spans="1:31" ht="15.6" hidden="1" customHeight="1" x14ac:dyDescent="0.2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163" t="s">
        <v>188</v>
      </c>
      <c r="S282" s="58" t="s">
        <v>0</v>
      </c>
      <c r="T282" s="1">
        <f>SUM(T283:T286)</f>
        <v>194.7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5">
        <f t="shared" si="96"/>
        <v>194.7</v>
      </c>
      <c r="AB282" s="54">
        <v>2018</v>
      </c>
      <c r="AC282" s="9"/>
      <c r="AD282" s="91"/>
      <c r="AE282" s="91"/>
    </row>
    <row r="283" spans="1:31" ht="15.6" hidden="1" customHeight="1" x14ac:dyDescent="0.25">
      <c r="A283" s="50" t="s">
        <v>18</v>
      </c>
      <c r="B283" s="50" t="s">
        <v>18</v>
      </c>
      <c r="C283" s="50" t="s">
        <v>22</v>
      </c>
      <c r="D283" s="50" t="s">
        <v>18</v>
      </c>
      <c r="E283" s="50" t="s">
        <v>21</v>
      </c>
      <c r="F283" s="50" t="s">
        <v>18</v>
      </c>
      <c r="G283" s="50" t="s">
        <v>22</v>
      </c>
      <c r="H283" s="50" t="s">
        <v>19</v>
      </c>
      <c r="I283" s="50" t="s">
        <v>24</v>
      </c>
      <c r="J283" s="50" t="s">
        <v>18</v>
      </c>
      <c r="K283" s="50" t="s">
        <v>18</v>
      </c>
      <c r="L283" s="50" t="s">
        <v>20</v>
      </c>
      <c r="M283" s="50" t="s">
        <v>19</v>
      </c>
      <c r="N283" s="50" t="s">
        <v>18</v>
      </c>
      <c r="O283" s="50" t="s">
        <v>24</v>
      </c>
      <c r="P283" s="50" t="s">
        <v>22</v>
      </c>
      <c r="Q283" s="50" t="s">
        <v>45</v>
      </c>
      <c r="R283" s="163"/>
      <c r="S283" s="58" t="s">
        <v>0</v>
      </c>
      <c r="T283" s="1">
        <v>77.3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5">
        <f t="shared" si="96"/>
        <v>77.3</v>
      </c>
      <c r="AB283" s="54">
        <v>2018</v>
      </c>
      <c r="AC283" s="9"/>
      <c r="AD283" s="91"/>
      <c r="AE283" s="91"/>
    </row>
    <row r="284" spans="1:31" ht="15.6" hidden="1" customHeight="1" x14ac:dyDescent="0.25">
      <c r="A284" s="50" t="s">
        <v>18</v>
      </c>
      <c r="B284" s="50" t="s">
        <v>18</v>
      </c>
      <c r="C284" s="50" t="s">
        <v>22</v>
      </c>
      <c r="D284" s="50" t="s">
        <v>18</v>
      </c>
      <c r="E284" s="50" t="s">
        <v>21</v>
      </c>
      <c r="F284" s="50" t="s">
        <v>18</v>
      </c>
      <c r="G284" s="50" t="s">
        <v>22</v>
      </c>
      <c r="H284" s="50" t="s">
        <v>19</v>
      </c>
      <c r="I284" s="50" t="s">
        <v>24</v>
      </c>
      <c r="J284" s="50" t="s">
        <v>18</v>
      </c>
      <c r="K284" s="50" t="s">
        <v>18</v>
      </c>
      <c r="L284" s="50" t="s">
        <v>20</v>
      </c>
      <c r="M284" s="50" t="s">
        <v>37</v>
      </c>
      <c r="N284" s="50" t="s">
        <v>18</v>
      </c>
      <c r="O284" s="50" t="s">
        <v>24</v>
      </c>
      <c r="P284" s="50" t="s">
        <v>22</v>
      </c>
      <c r="Q284" s="50" t="s">
        <v>46</v>
      </c>
      <c r="R284" s="163"/>
      <c r="S284" s="58" t="s">
        <v>0</v>
      </c>
      <c r="T284" s="1">
        <v>20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5">
        <f t="shared" si="96"/>
        <v>20</v>
      </c>
      <c r="AB284" s="54">
        <v>2018</v>
      </c>
      <c r="AC284" s="9"/>
      <c r="AD284" s="91"/>
      <c r="AE284" s="91"/>
    </row>
    <row r="285" spans="1:31" ht="15.6" hidden="1" customHeight="1" x14ac:dyDescent="0.25">
      <c r="A285" s="50" t="s">
        <v>18</v>
      </c>
      <c r="B285" s="50" t="s">
        <v>18</v>
      </c>
      <c r="C285" s="50" t="s">
        <v>22</v>
      </c>
      <c r="D285" s="50" t="s">
        <v>18</v>
      </c>
      <c r="E285" s="50" t="s">
        <v>21</v>
      </c>
      <c r="F285" s="50" t="s">
        <v>18</v>
      </c>
      <c r="G285" s="50" t="s">
        <v>22</v>
      </c>
      <c r="H285" s="50" t="s">
        <v>19</v>
      </c>
      <c r="I285" s="50" t="s">
        <v>24</v>
      </c>
      <c r="J285" s="50" t="s">
        <v>18</v>
      </c>
      <c r="K285" s="50" t="s">
        <v>18</v>
      </c>
      <c r="L285" s="50" t="s">
        <v>20</v>
      </c>
      <c r="M285" s="50" t="s">
        <v>37</v>
      </c>
      <c r="N285" s="50" t="s">
        <v>18</v>
      </c>
      <c r="O285" s="50" t="s">
        <v>24</v>
      </c>
      <c r="P285" s="50" t="s">
        <v>22</v>
      </c>
      <c r="Q285" s="50" t="s">
        <v>46</v>
      </c>
      <c r="R285" s="163"/>
      <c r="S285" s="58" t="s">
        <v>0</v>
      </c>
      <c r="T285" s="1">
        <v>19.5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5">
        <f t="shared" si="96"/>
        <v>19.5</v>
      </c>
      <c r="AB285" s="54">
        <v>2018</v>
      </c>
      <c r="AC285" s="9"/>
      <c r="AD285" s="91"/>
      <c r="AE285" s="91"/>
    </row>
    <row r="286" spans="1:31" ht="15.6" hidden="1" customHeight="1" x14ac:dyDescent="0.25">
      <c r="A286" s="50" t="s">
        <v>18</v>
      </c>
      <c r="B286" s="50" t="s">
        <v>18</v>
      </c>
      <c r="C286" s="50" t="s">
        <v>22</v>
      </c>
      <c r="D286" s="50" t="s">
        <v>18</v>
      </c>
      <c r="E286" s="50" t="s">
        <v>21</v>
      </c>
      <c r="F286" s="50" t="s">
        <v>18</v>
      </c>
      <c r="G286" s="50" t="s">
        <v>22</v>
      </c>
      <c r="H286" s="50" t="s">
        <v>19</v>
      </c>
      <c r="I286" s="50" t="s">
        <v>24</v>
      </c>
      <c r="J286" s="50" t="s">
        <v>18</v>
      </c>
      <c r="K286" s="50" t="s">
        <v>18</v>
      </c>
      <c r="L286" s="50" t="s">
        <v>20</v>
      </c>
      <c r="M286" s="50" t="s">
        <v>37</v>
      </c>
      <c r="N286" s="50" t="s">
        <v>18</v>
      </c>
      <c r="O286" s="50" t="s">
        <v>24</v>
      </c>
      <c r="P286" s="50" t="s">
        <v>22</v>
      </c>
      <c r="Q286" s="50" t="s">
        <v>39</v>
      </c>
      <c r="R286" s="163"/>
      <c r="S286" s="58" t="s">
        <v>0</v>
      </c>
      <c r="T286" s="1">
        <v>77.900000000000006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5">
        <f t="shared" si="96"/>
        <v>77.900000000000006</v>
      </c>
      <c r="AB286" s="54">
        <v>2018</v>
      </c>
      <c r="AC286" s="9"/>
      <c r="AD286" s="91"/>
      <c r="AE286" s="91"/>
    </row>
    <row r="287" spans="1:31" s="64" customFormat="1" ht="31.15" hidden="1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71" t="s">
        <v>189</v>
      </c>
      <c r="S287" s="48" t="s">
        <v>50</v>
      </c>
      <c r="T287" s="42">
        <v>1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5">
        <f t="shared" si="96"/>
        <v>1</v>
      </c>
      <c r="AB287" s="39">
        <v>2018</v>
      </c>
      <c r="AC287" s="62"/>
      <c r="AD287" s="76"/>
      <c r="AE287" s="76"/>
    </row>
    <row r="288" spans="1:31" ht="31.15" hidden="1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71" t="s">
        <v>190</v>
      </c>
      <c r="S288" s="75" t="s">
        <v>168</v>
      </c>
      <c r="T288" s="3">
        <v>15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6">
        <f t="shared" si="96"/>
        <v>15</v>
      </c>
      <c r="AB288" s="39">
        <v>2018</v>
      </c>
      <c r="AC288" s="9"/>
      <c r="AD288" s="91"/>
      <c r="AE288" s="91"/>
    </row>
    <row r="289" spans="1:31" ht="15.6" hidden="1" customHeight="1" x14ac:dyDescent="0.2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163" t="s">
        <v>191</v>
      </c>
      <c r="S289" s="58" t="s">
        <v>0</v>
      </c>
      <c r="T289" s="1">
        <f>SUM(T290:T293)</f>
        <v>119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5">
        <f t="shared" si="96"/>
        <v>119</v>
      </c>
      <c r="AB289" s="54">
        <v>2018</v>
      </c>
      <c r="AC289" s="9"/>
      <c r="AD289" s="91"/>
      <c r="AE289" s="91"/>
    </row>
    <row r="290" spans="1:31" ht="15.6" hidden="1" customHeight="1" x14ac:dyDescent="0.25">
      <c r="A290" s="50" t="s">
        <v>18</v>
      </c>
      <c r="B290" s="50" t="s">
        <v>18</v>
      </c>
      <c r="C290" s="50" t="s">
        <v>22</v>
      </c>
      <c r="D290" s="50" t="s">
        <v>18</v>
      </c>
      <c r="E290" s="50" t="s">
        <v>24</v>
      </c>
      <c r="F290" s="50" t="s">
        <v>18</v>
      </c>
      <c r="G290" s="50" t="s">
        <v>43</v>
      </c>
      <c r="H290" s="50" t="s">
        <v>19</v>
      </c>
      <c r="I290" s="50" t="s">
        <v>24</v>
      </c>
      <c r="J290" s="50" t="s">
        <v>18</v>
      </c>
      <c r="K290" s="50" t="s">
        <v>18</v>
      </c>
      <c r="L290" s="50" t="s">
        <v>20</v>
      </c>
      <c r="M290" s="50" t="s">
        <v>19</v>
      </c>
      <c r="N290" s="50" t="s">
        <v>18</v>
      </c>
      <c r="O290" s="50" t="s">
        <v>24</v>
      </c>
      <c r="P290" s="50" t="s">
        <v>22</v>
      </c>
      <c r="Q290" s="50" t="s">
        <v>45</v>
      </c>
      <c r="R290" s="163"/>
      <c r="S290" s="58" t="s">
        <v>0</v>
      </c>
      <c r="T290" s="1">
        <v>47.6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5">
        <f t="shared" si="96"/>
        <v>47.6</v>
      </c>
      <c r="AB290" s="54">
        <v>2018</v>
      </c>
      <c r="AC290" s="9"/>
      <c r="AD290" s="91"/>
      <c r="AE290" s="91"/>
    </row>
    <row r="291" spans="1:31" ht="15.6" hidden="1" customHeight="1" x14ac:dyDescent="0.25">
      <c r="A291" s="50" t="s">
        <v>18</v>
      </c>
      <c r="B291" s="50" t="s">
        <v>18</v>
      </c>
      <c r="C291" s="50" t="s">
        <v>22</v>
      </c>
      <c r="D291" s="50" t="s">
        <v>18</v>
      </c>
      <c r="E291" s="50" t="s">
        <v>24</v>
      </c>
      <c r="F291" s="50" t="s">
        <v>18</v>
      </c>
      <c r="G291" s="50" t="s">
        <v>43</v>
      </c>
      <c r="H291" s="50" t="s">
        <v>19</v>
      </c>
      <c r="I291" s="50" t="s">
        <v>24</v>
      </c>
      <c r="J291" s="50" t="s">
        <v>18</v>
      </c>
      <c r="K291" s="50" t="s">
        <v>18</v>
      </c>
      <c r="L291" s="50" t="s">
        <v>20</v>
      </c>
      <c r="M291" s="50" t="s">
        <v>37</v>
      </c>
      <c r="N291" s="50" t="s">
        <v>18</v>
      </c>
      <c r="O291" s="50" t="s">
        <v>24</v>
      </c>
      <c r="P291" s="50" t="s">
        <v>22</v>
      </c>
      <c r="Q291" s="50" t="s">
        <v>46</v>
      </c>
      <c r="R291" s="163"/>
      <c r="S291" s="58" t="s">
        <v>0</v>
      </c>
      <c r="T291" s="1">
        <v>11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5">
        <f t="shared" si="96"/>
        <v>11</v>
      </c>
      <c r="AB291" s="54">
        <v>2018</v>
      </c>
      <c r="AC291" s="9"/>
      <c r="AD291" s="91"/>
      <c r="AE291" s="91"/>
    </row>
    <row r="292" spans="1:31" ht="15.6" hidden="1" customHeight="1" x14ac:dyDescent="0.25">
      <c r="A292" s="50" t="s">
        <v>18</v>
      </c>
      <c r="B292" s="50" t="s">
        <v>18</v>
      </c>
      <c r="C292" s="50" t="s">
        <v>22</v>
      </c>
      <c r="D292" s="50" t="s">
        <v>18</v>
      </c>
      <c r="E292" s="50" t="s">
        <v>24</v>
      </c>
      <c r="F292" s="50" t="s">
        <v>18</v>
      </c>
      <c r="G292" s="50" t="s">
        <v>43</v>
      </c>
      <c r="H292" s="50" t="s">
        <v>19</v>
      </c>
      <c r="I292" s="50" t="s">
        <v>24</v>
      </c>
      <c r="J292" s="50" t="s">
        <v>18</v>
      </c>
      <c r="K292" s="50" t="s">
        <v>18</v>
      </c>
      <c r="L292" s="50" t="s">
        <v>20</v>
      </c>
      <c r="M292" s="50" t="s">
        <v>37</v>
      </c>
      <c r="N292" s="50" t="s">
        <v>18</v>
      </c>
      <c r="O292" s="50" t="s">
        <v>24</v>
      </c>
      <c r="P292" s="50" t="s">
        <v>22</v>
      </c>
      <c r="Q292" s="50" t="s">
        <v>46</v>
      </c>
      <c r="R292" s="163"/>
      <c r="S292" s="58" t="s">
        <v>0</v>
      </c>
      <c r="T292" s="1">
        <v>12.8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5">
        <f t="shared" si="96"/>
        <v>12.8</v>
      </c>
      <c r="AB292" s="54">
        <v>2018</v>
      </c>
      <c r="AC292" s="9"/>
      <c r="AD292" s="91"/>
      <c r="AE292" s="91"/>
    </row>
    <row r="293" spans="1:31" ht="15.6" hidden="1" customHeight="1" x14ac:dyDescent="0.25">
      <c r="A293" s="50" t="s">
        <v>18</v>
      </c>
      <c r="B293" s="50" t="s">
        <v>18</v>
      </c>
      <c r="C293" s="50" t="s">
        <v>22</v>
      </c>
      <c r="D293" s="50" t="s">
        <v>18</v>
      </c>
      <c r="E293" s="50" t="s">
        <v>24</v>
      </c>
      <c r="F293" s="50" t="s">
        <v>18</v>
      </c>
      <c r="G293" s="50" t="s">
        <v>43</v>
      </c>
      <c r="H293" s="50" t="s">
        <v>19</v>
      </c>
      <c r="I293" s="50" t="s">
        <v>24</v>
      </c>
      <c r="J293" s="50" t="s">
        <v>18</v>
      </c>
      <c r="K293" s="50" t="s">
        <v>18</v>
      </c>
      <c r="L293" s="50" t="s">
        <v>20</v>
      </c>
      <c r="M293" s="50" t="s">
        <v>37</v>
      </c>
      <c r="N293" s="50" t="s">
        <v>18</v>
      </c>
      <c r="O293" s="50" t="s">
        <v>24</v>
      </c>
      <c r="P293" s="50" t="s">
        <v>22</v>
      </c>
      <c r="Q293" s="50" t="s">
        <v>39</v>
      </c>
      <c r="R293" s="163"/>
      <c r="S293" s="58" t="s">
        <v>0</v>
      </c>
      <c r="T293" s="1">
        <v>47.6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5">
        <f t="shared" si="96"/>
        <v>47.6</v>
      </c>
      <c r="AB293" s="54">
        <v>2018</v>
      </c>
      <c r="AC293" s="9"/>
      <c r="AD293" s="91"/>
      <c r="AE293" s="91"/>
    </row>
    <row r="294" spans="1:31" s="64" customFormat="1" ht="46.9" hidden="1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69" t="s">
        <v>192</v>
      </c>
      <c r="S294" s="80" t="s">
        <v>167</v>
      </c>
      <c r="T294" s="3">
        <v>65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45">
        <f t="shared" si="96"/>
        <v>65</v>
      </c>
      <c r="AB294" s="39">
        <v>2018</v>
      </c>
      <c r="AC294" s="62"/>
      <c r="AD294" s="76"/>
      <c r="AE294" s="76"/>
    </row>
    <row r="295" spans="1:31" ht="15.6" customHeight="1" x14ac:dyDescent="0.25">
      <c r="A295" s="50" t="s">
        <v>18</v>
      </c>
      <c r="B295" s="50" t="s">
        <v>18</v>
      </c>
      <c r="C295" s="50" t="s">
        <v>24</v>
      </c>
      <c r="D295" s="50" t="s">
        <v>18</v>
      </c>
      <c r="E295" s="50" t="s">
        <v>18</v>
      </c>
      <c r="F295" s="50" t="s">
        <v>18</v>
      </c>
      <c r="G295" s="50" t="s">
        <v>18</v>
      </c>
      <c r="H295" s="50" t="s">
        <v>19</v>
      </c>
      <c r="I295" s="50" t="s">
        <v>24</v>
      </c>
      <c r="J295" s="50" t="s">
        <v>18</v>
      </c>
      <c r="K295" s="50" t="s">
        <v>18</v>
      </c>
      <c r="L295" s="50" t="s">
        <v>20</v>
      </c>
      <c r="M295" s="50" t="s">
        <v>18</v>
      </c>
      <c r="N295" s="50" t="s">
        <v>18</v>
      </c>
      <c r="O295" s="50" t="s">
        <v>18</v>
      </c>
      <c r="P295" s="50" t="s">
        <v>18</v>
      </c>
      <c r="Q295" s="50" t="s">
        <v>18</v>
      </c>
      <c r="R295" s="164" t="s">
        <v>133</v>
      </c>
      <c r="S295" s="157" t="s">
        <v>0</v>
      </c>
      <c r="T295" s="55">
        <f>SUM(T296:T299)</f>
        <v>3440.1</v>
      </c>
      <c r="U295" s="55">
        <f>SUM(U298:U301)</f>
        <v>3636.2999999999997</v>
      </c>
      <c r="V295" s="55">
        <f>SUM(V296:V301)</f>
        <v>1375.3</v>
      </c>
      <c r="W295" s="55">
        <f>SUM(W296:W304)</f>
        <v>7141.3</v>
      </c>
      <c r="X295" s="55">
        <f t="shared" ref="X295:Z295" si="97">SUM(X296:X304)</f>
        <v>680.7</v>
      </c>
      <c r="Y295" s="55">
        <f t="shared" si="97"/>
        <v>0</v>
      </c>
      <c r="Z295" s="55">
        <f t="shared" si="97"/>
        <v>0</v>
      </c>
      <c r="AA295" s="55">
        <f>SUM(T295:Z295)</f>
        <v>16273.7</v>
      </c>
      <c r="AB295" s="54">
        <v>2022</v>
      </c>
      <c r="AC295" s="114"/>
      <c r="AD295" s="91"/>
      <c r="AE295" s="91"/>
    </row>
    <row r="296" spans="1:31" x14ac:dyDescent="0.25">
      <c r="A296" s="50" t="s">
        <v>18</v>
      </c>
      <c r="B296" s="50" t="s">
        <v>18</v>
      </c>
      <c r="C296" s="50" t="s">
        <v>24</v>
      </c>
      <c r="D296" s="50" t="s">
        <v>18</v>
      </c>
      <c r="E296" s="50" t="s">
        <v>18</v>
      </c>
      <c r="F296" s="50" t="s">
        <v>18</v>
      </c>
      <c r="G296" s="50" t="s">
        <v>18</v>
      </c>
      <c r="H296" s="50" t="s">
        <v>19</v>
      </c>
      <c r="I296" s="50" t="s">
        <v>24</v>
      </c>
      <c r="J296" s="50" t="s">
        <v>18</v>
      </c>
      <c r="K296" s="50" t="s">
        <v>18</v>
      </c>
      <c r="L296" s="50" t="s">
        <v>20</v>
      </c>
      <c r="M296" s="50" t="s">
        <v>19</v>
      </c>
      <c r="N296" s="50" t="s">
        <v>18</v>
      </c>
      <c r="O296" s="50" t="s">
        <v>24</v>
      </c>
      <c r="P296" s="50" t="s">
        <v>22</v>
      </c>
      <c r="Q296" s="50" t="s">
        <v>45</v>
      </c>
      <c r="R296" s="165"/>
      <c r="S296" s="158"/>
      <c r="T296" s="1">
        <f>T308+T314+T319+T324+T329+T334</f>
        <v>1609.7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5">
        <f t="shared" ref="AA296:AA304" si="98">SUM(T296:Z296)</f>
        <v>1609.7</v>
      </c>
      <c r="AB296" s="54">
        <v>2018</v>
      </c>
      <c r="AC296" s="114"/>
      <c r="AD296" s="91"/>
      <c r="AE296" s="91"/>
    </row>
    <row r="297" spans="1:31" ht="15.6" hidden="1" customHeight="1" x14ac:dyDescent="0.25">
      <c r="A297" s="50" t="s">
        <v>18</v>
      </c>
      <c r="B297" s="50" t="s">
        <v>18</v>
      </c>
      <c r="C297" s="50" t="s">
        <v>24</v>
      </c>
      <c r="D297" s="50" t="s">
        <v>18</v>
      </c>
      <c r="E297" s="50" t="s">
        <v>18</v>
      </c>
      <c r="F297" s="50" t="s">
        <v>18</v>
      </c>
      <c r="G297" s="50" t="s">
        <v>18</v>
      </c>
      <c r="H297" s="50" t="s">
        <v>19</v>
      </c>
      <c r="I297" s="50" t="s">
        <v>24</v>
      </c>
      <c r="J297" s="50" t="s">
        <v>18</v>
      </c>
      <c r="K297" s="50" t="s">
        <v>18</v>
      </c>
      <c r="L297" s="50" t="s">
        <v>20</v>
      </c>
      <c r="M297" s="50" t="s">
        <v>37</v>
      </c>
      <c r="N297" s="50" t="s">
        <v>18</v>
      </c>
      <c r="O297" s="50" t="s">
        <v>43</v>
      </c>
      <c r="P297" s="50" t="s">
        <v>22</v>
      </c>
      <c r="Q297" s="50" t="s">
        <v>170</v>
      </c>
      <c r="R297" s="165"/>
      <c r="S297" s="158"/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5">
        <f t="shared" si="98"/>
        <v>0</v>
      </c>
      <c r="AB297" s="54">
        <v>2018</v>
      </c>
      <c r="AC297" s="114"/>
      <c r="AD297" s="91"/>
      <c r="AE297" s="91"/>
    </row>
    <row r="298" spans="1:31" x14ac:dyDescent="0.25">
      <c r="A298" s="50" t="s">
        <v>18</v>
      </c>
      <c r="B298" s="50" t="s">
        <v>18</v>
      </c>
      <c r="C298" s="50" t="s">
        <v>24</v>
      </c>
      <c r="D298" s="50" t="s">
        <v>18</v>
      </c>
      <c r="E298" s="50" t="s">
        <v>18</v>
      </c>
      <c r="F298" s="50" t="s">
        <v>18</v>
      </c>
      <c r="G298" s="50" t="s">
        <v>18</v>
      </c>
      <c r="H298" s="50" t="s">
        <v>19</v>
      </c>
      <c r="I298" s="50" t="s">
        <v>24</v>
      </c>
      <c r="J298" s="50" t="s">
        <v>18</v>
      </c>
      <c r="K298" s="50" t="s">
        <v>18</v>
      </c>
      <c r="L298" s="50" t="s">
        <v>20</v>
      </c>
      <c r="M298" s="50" t="s">
        <v>37</v>
      </c>
      <c r="N298" s="50" t="s">
        <v>18</v>
      </c>
      <c r="O298" s="50" t="s">
        <v>24</v>
      </c>
      <c r="P298" s="50" t="s">
        <v>22</v>
      </c>
      <c r="Q298" s="50" t="s">
        <v>46</v>
      </c>
      <c r="R298" s="165"/>
      <c r="S298" s="158"/>
      <c r="T298" s="1">
        <f>T310+T315+T320+T325+T330+T335</f>
        <v>441.79999999999995</v>
      </c>
      <c r="U298" s="1">
        <v>394.2</v>
      </c>
      <c r="V298" s="1">
        <v>235.1</v>
      </c>
      <c r="W298" s="1">
        <v>0</v>
      </c>
      <c r="X298" s="1">
        <v>0</v>
      </c>
      <c r="Y298" s="1">
        <v>0</v>
      </c>
      <c r="Z298" s="1">
        <v>0</v>
      </c>
      <c r="AA298" s="55">
        <f t="shared" si="98"/>
        <v>1071.0999999999999</v>
      </c>
      <c r="AB298" s="54">
        <v>2020</v>
      </c>
      <c r="AC298" s="114"/>
      <c r="AD298" s="91"/>
      <c r="AE298" s="91"/>
    </row>
    <row r="299" spans="1:31" x14ac:dyDescent="0.25">
      <c r="A299" s="50" t="s">
        <v>18</v>
      </c>
      <c r="B299" s="50" t="s">
        <v>18</v>
      </c>
      <c r="C299" s="50" t="s">
        <v>24</v>
      </c>
      <c r="D299" s="50" t="s">
        <v>18</v>
      </c>
      <c r="E299" s="50" t="s">
        <v>18</v>
      </c>
      <c r="F299" s="50" t="s">
        <v>18</v>
      </c>
      <c r="G299" s="50" t="s">
        <v>18</v>
      </c>
      <c r="H299" s="50" t="s">
        <v>19</v>
      </c>
      <c r="I299" s="50" t="s">
        <v>24</v>
      </c>
      <c r="J299" s="50" t="s">
        <v>18</v>
      </c>
      <c r="K299" s="50" t="s">
        <v>18</v>
      </c>
      <c r="L299" s="50" t="s">
        <v>20</v>
      </c>
      <c r="M299" s="50" t="s">
        <v>37</v>
      </c>
      <c r="N299" s="50" t="s">
        <v>18</v>
      </c>
      <c r="O299" s="50" t="s">
        <v>24</v>
      </c>
      <c r="P299" s="50" t="s">
        <v>22</v>
      </c>
      <c r="Q299" s="50" t="s">
        <v>39</v>
      </c>
      <c r="R299" s="165"/>
      <c r="S299" s="158"/>
      <c r="T299" s="1">
        <v>1388.6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5">
        <f t="shared" si="98"/>
        <v>1388.6</v>
      </c>
      <c r="AB299" s="54">
        <v>2018</v>
      </c>
      <c r="AC299" s="114"/>
      <c r="AD299" s="91"/>
      <c r="AE299" s="91"/>
    </row>
    <row r="300" spans="1:31" x14ac:dyDescent="0.25">
      <c r="A300" s="50" t="s">
        <v>18</v>
      </c>
      <c r="B300" s="50" t="s">
        <v>18</v>
      </c>
      <c r="C300" s="50" t="s">
        <v>24</v>
      </c>
      <c r="D300" s="50" t="s">
        <v>18</v>
      </c>
      <c r="E300" s="50" t="s">
        <v>18</v>
      </c>
      <c r="F300" s="50" t="s">
        <v>18</v>
      </c>
      <c r="G300" s="50" t="s">
        <v>18</v>
      </c>
      <c r="H300" s="50" t="s">
        <v>19</v>
      </c>
      <c r="I300" s="50" t="s">
        <v>24</v>
      </c>
      <c r="J300" s="50" t="s">
        <v>18</v>
      </c>
      <c r="K300" s="50" t="s">
        <v>18</v>
      </c>
      <c r="L300" s="50" t="s">
        <v>20</v>
      </c>
      <c r="M300" s="50" t="s">
        <v>19</v>
      </c>
      <c r="N300" s="50" t="s">
        <v>18</v>
      </c>
      <c r="O300" s="50" t="s">
        <v>24</v>
      </c>
      <c r="P300" s="50" t="s">
        <v>22</v>
      </c>
      <c r="Q300" s="50" t="s">
        <v>18</v>
      </c>
      <c r="R300" s="165"/>
      <c r="S300" s="158"/>
      <c r="T300" s="1">
        <v>0</v>
      </c>
      <c r="U300" s="1">
        <f>1865.4-95.4</f>
        <v>1770</v>
      </c>
      <c r="V300" s="1">
        <f>600-600</f>
        <v>0</v>
      </c>
      <c r="W300" s="1">
        <v>0</v>
      </c>
      <c r="X300" s="1">
        <v>0</v>
      </c>
      <c r="Y300" s="1">
        <v>0</v>
      </c>
      <c r="Z300" s="1">
        <v>0</v>
      </c>
      <c r="AA300" s="55">
        <f t="shared" si="98"/>
        <v>1770</v>
      </c>
      <c r="AB300" s="54">
        <v>2019</v>
      </c>
      <c r="AC300" s="114"/>
      <c r="AD300" s="91"/>
      <c r="AE300" s="91"/>
    </row>
    <row r="301" spans="1:31" x14ac:dyDescent="0.25">
      <c r="A301" s="50" t="s">
        <v>18</v>
      </c>
      <c r="B301" s="50" t="s">
        <v>18</v>
      </c>
      <c r="C301" s="50" t="s">
        <v>24</v>
      </c>
      <c r="D301" s="50" t="s">
        <v>18</v>
      </c>
      <c r="E301" s="50" t="s">
        <v>18</v>
      </c>
      <c r="F301" s="50" t="s">
        <v>18</v>
      </c>
      <c r="G301" s="50" t="s">
        <v>18</v>
      </c>
      <c r="H301" s="50" t="s">
        <v>19</v>
      </c>
      <c r="I301" s="50" t="s">
        <v>24</v>
      </c>
      <c r="J301" s="50" t="s">
        <v>18</v>
      </c>
      <c r="K301" s="50" t="s">
        <v>18</v>
      </c>
      <c r="L301" s="50" t="s">
        <v>20</v>
      </c>
      <c r="M301" s="50" t="s">
        <v>37</v>
      </c>
      <c r="N301" s="50" t="s">
        <v>18</v>
      </c>
      <c r="O301" s="50" t="s">
        <v>24</v>
      </c>
      <c r="P301" s="50" t="s">
        <v>22</v>
      </c>
      <c r="Q301" s="50" t="s">
        <v>18</v>
      </c>
      <c r="R301" s="165"/>
      <c r="S301" s="158"/>
      <c r="T301" s="1">
        <v>0</v>
      </c>
      <c r="U301" s="1">
        <v>1472.1</v>
      </c>
      <c r="V301" s="1">
        <f>540.2+600</f>
        <v>1140.2</v>
      </c>
      <c r="W301" s="1">
        <v>0</v>
      </c>
      <c r="X301" s="1">
        <v>0</v>
      </c>
      <c r="Y301" s="1">
        <v>0</v>
      </c>
      <c r="Z301" s="1">
        <v>0</v>
      </c>
      <c r="AA301" s="55">
        <f t="shared" si="98"/>
        <v>2612.3000000000002</v>
      </c>
      <c r="AB301" s="54">
        <v>2020</v>
      </c>
      <c r="AC301" s="114"/>
      <c r="AD301" s="91"/>
      <c r="AE301" s="91"/>
    </row>
    <row r="302" spans="1:31" x14ac:dyDescent="0.25">
      <c r="A302" s="50" t="s">
        <v>18</v>
      </c>
      <c r="B302" s="50" t="s">
        <v>18</v>
      </c>
      <c r="C302" s="50" t="s">
        <v>24</v>
      </c>
      <c r="D302" s="50" t="s">
        <v>18</v>
      </c>
      <c r="E302" s="50" t="s">
        <v>18</v>
      </c>
      <c r="F302" s="50" t="s">
        <v>18</v>
      </c>
      <c r="G302" s="50" t="s">
        <v>18</v>
      </c>
      <c r="H302" s="50" t="s">
        <v>19</v>
      </c>
      <c r="I302" s="50" t="s">
        <v>24</v>
      </c>
      <c r="J302" s="50" t="s">
        <v>18</v>
      </c>
      <c r="K302" s="50" t="s">
        <v>18</v>
      </c>
      <c r="L302" s="50" t="s">
        <v>20</v>
      </c>
      <c r="M302" s="50" t="s">
        <v>37</v>
      </c>
      <c r="N302" s="50" t="s">
        <v>43</v>
      </c>
      <c r="O302" s="50" t="s">
        <v>18</v>
      </c>
      <c r="P302" s="50" t="s">
        <v>18</v>
      </c>
      <c r="Q302" s="50" t="s">
        <v>18</v>
      </c>
      <c r="R302" s="165"/>
      <c r="S302" s="158"/>
      <c r="T302" s="1">
        <v>0</v>
      </c>
      <c r="U302" s="1">
        <v>0</v>
      </c>
      <c r="V302" s="1">
        <v>0</v>
      </c>
      <c r="W302" s="1">
        <v>2000.4</v>
      </c>
      <c r="X302" s="1">
        <f>530.5-229</f>
        <v>301.5</v>
      </c>
      <c r="Y302" s="1">
        <v>0</v>
      </c>
      <c r="Z302" s="1">
        <v>0</v>
      </c>
      <c r="AA302" s="55">
        <f t="shared" si="98"/>
        <v>2301.9</v>
      </c>
      <c r="AB302" s="54">
        <v>2022</v>
      </c>
      <c r="AC302" s="114"/>
      <c r="AD302" s="91"/>
      <c r="AE302" s="91"/>
    </row>
    <row r="303" spans="1:31" x14ac:dyDescent="0.25">
      <c r="A303" s="50" t="s">
        <v>18</v>
      </c>
      <c r="B303" s="50" t="s">
        <v>18</v>
      </c>
      <c r="C303" s="50" t="s">
        <v>24</v>
      </c>
      <c r="D303" s="50" t="s">
        <v>18</v>
      </c>
      <c r="E303" s="50" t="s">
        <v>18</v>
      </c>
      <c r="F303" s="50" t="s">
        <v>18</v>
      </c>
      <c r="G303" s="50" t="s">
        <v>18</v>
      </c>
      <c r="H303" s="50" t="s">
        <v>19</v>
      </c>
      <c r="I303" s="50" t="s">
        <v>24</v>
      </c>
      <c r="J303" s="50" t="s">
        <v>18</v>
      </c>
      <c r="K303" s="50" t="s">
        <v>18</v>
      </c>
      <c r="L303" s="50" t="s">
        <v>20</v>
      </c>
      <c r="M303" s="50" t="s">
        <v>19</v>
      </c>
      <c r="N303" s="50" t="s">
        <v>43</v>
      </c>
      <c r="O303" s="50" t="s">
        <v>18</v>
      </c>
      <c r="P303" s="50" t="s">
        <v>18</v>
      </c>
      <c r="Q303" s="50" t="s">
        <v>18</v>
      </c>
      <c r="R303" s="165"/>
      <c r="S303" s="158"/>
      <c r="T303" s="1">
        <v>0</v>
      </c>
      <c r="U303" s="1">
        <v>0</v>
      </c>
      <c r="V303" s="1">
        <v>0</v>
      </c>
      <c r="W303" s="1">
        <v>4045.4</v>
      </c>
      <c r="X303" s="1">
        <v>305.2</v>
      </c>
      <c r="Y303" s="1">
        <v>0</v>
      </c>
      <c r="Z303" s="1">
        <v>0</v>
      </c>
      <c r="AA303" s="55">
        <f t="shared" si="98"/>
        <v>4350.6000000000004</v>
      </c>
      <c r="AB303" s="54">
        <v>2022</v>
      </c>
      <c r="AC303" s="114"/>
      <c r="AD303" s="91"/>
      <c r="AE303" s="91"/>
    </row>
    <row r="304" spans="1:31" x14ac:dyDescent="0.25">
      <c r="A304" s="50" t="s">
        <v>18</v>
      </c>
      <c r="B304" s="50" t="s">
        <v>18</v>
      </c>
      <c r="C304" s="50" t="s">
        <v>24</v>
      </c>
      <c r="D304" s="50" t="s">
        <v>18</v>
      </c>
      <c r="E304" s="50" t="s">
        <v>18</v>
      </c>
      <c r="F304" s="50" t="s">
        <v>18</v>
      </c>
      <c r="G304" s="50" t="s">
        <v>18</v>
      </c>
      <c r="H304" s="50" t="s">
        <v>19</v>
      </c>
      <c r="I304" s="50" t="s">
        <v>24</v>
      </c>
      <c r="J304" s="50" t="s">
        <v>18</v>
      </c>
      <c r="K304" s="50" t="s">
        <v>18</v>
      </c>
      <c r="L304" s="50" t="s">
        <v>20</v>
      </c>
      <c r="M304" s="50" t="s">
        <v>37</v>
      </c>
      <c r="N304" s="50" t="s">
        <v>43</v>
      </c>
      <c r="O304" s="50" t="s">
        <v>46</v>
      </c>
      <c r="P304" s="50" t="s">
        <v>18</v>
      </c>
      <c r="Q304" s="50" t="s">
        <v>18</v>
      </c>
      <c r="R304" s="166"/>
      <c r="S304" s="159"/>
      <c r="T304" s="1">
        <v>0</v>
      </c>
      <c r="U304" s="1">
        <v>0</v>
      </c>
      <c r="V304" s="1">
        <v>0</v>
      </c>
      <c r="W304" s="1">
        <v>1095.5</v>
      </c>
      <c r="X304" s="1">
        <v>74</v>
      </c>
      <c r="Y304" s="1">
        <v>0</v>
      </c>
      <c r="Z304" s="1">
        <v>0</v>
      </c>
      <c r="AA304" s="55">
        <f t="shared" si="98"/>
        <v>1169.5</v>
      </c>
      <c r="AB304" s="54">
        <v>2022</v>
      </c>
      <c r="AC304" s="114"/>
      <c r="AD304" s="91"/>
      <c r="AE304" s="91"/>
    </row>
    <row r="305" spans="1:31" ht="35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71" t="s">
        <v>279</v>
      </c>
      <c r="S305" s="57" t="s">
        <v>52</v>
      </c>
      <c r="T305" s="3">
        <v>0.2</v>
      </c>
      <c r="U305" s="3">
        <v>1.2</v>
      </c>
      <c r="V305" s="3">
        <v>0</v>
      </c>
      <c r="W305" s="3">
        <v>1.1000000000000001</v>
      </c>
      <c r="X305" s="3">
        <v>0</v>
      </c>
      <c r="Y305" s="3">
        <v>0</v>
      </c>
      <c r="Z305" s="3">
        <v>0</v>
      </c>
      <c r="AA305" s="6">
        <f t="shared" si="96"/>
        <v>2.5</v>
      </c>
      <c r="AB305" s="39">
        <v>2021</v>
      </c>
      <c r="AC305" s="118"/>
      <c r="AD305" s="91"/>
      <c r="AE305" s="91"/>
    </row>
    <row r="306" spans="1:31" ht="47.25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71" t="s">
        <v>280</v>
      </c>
      <c r="S306" s="75" t="s">
        <v>50</v>
      </c>
      <c r="T306" s="42">
        <v>6</v>
      </c>
      <c r="U306" s="42">
        <v>5</v>
      </c>
      <c r="V306" s="42">
        <v>1</v>
      </c>
      <c r="W306" s="42">
        <v>8</v>
      </c>
      <c r="X306" s="42">
        <v>1</v>
      </c>
      <c r="Y306" s="42">
        <v>0</v>
      </c>
      <c r="Z306" s="42">
        <v>0</v>
      </c>
      <c r="AA306" s="45">
        <f t="shared" si="96"/>
        <v>21</v>
      </c>
      <c r="AB306" s="39">
        <v>2022</v>
      </c>
      <c r="AC306" s="118"/>
      <c r="AD306" s="91"/>
      <c r="AE306" s="91"/>
    </row>
    <row r="307" spans="1:31" ht="16.350000000000001" hidden="1" customHeight="1" x14ac:dyDescent="0.2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163" t="s">
        <v>193</v>
      </c>
      <c r="S307" s="58" t="s">
        <v>0</v>
      </c>
      <c r="T307" s="1">
        <f>SUM(T308:T311)</f>
        <v>943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5">
        <f t="shared" si="96"/>
        <v>943</v>
      </c>
      <c r="AB307" s="54">
        <v>2018</v>
      </c>
      <c r="AC307" s="9"/>
      <c r="AD307" s="91"/>
      <c r="AE307" s="91"/>
    </row>
    <row r="308" spans="1:31" ht="16.350000000000001" hidden="1" customHeight="1" x14ac:dyDescent="0.25">
      <c r="A308" s="50" t="s">
        <v>18</v>
      </c>
      <c r="B308" s="50" t="s">
        <v>18</v>
      </c>
      <c r="C308" s="50" t="s">
        <v>24</v>
      </c>
      <c r="D308" s="50" t="s">
        <v>18</v>
      </c>
      <c r="E308" s="50" t="s">
        <v>24</v>
      </c>
      <c r="F308" s="50" t="s">
        <v>18</v>
      </c>
      <c r="G308" s="50" t="s">
        <v>43</v>
      </c>
      <c r="H308" s="50" t="s">
        <v>19</v>
      </c>
      <c r="I308" s="50" t="s">
        <v>24</v>
      </c>
      <c r="J308" s="50" t="s">
        <v>18</v>
      </c>
      <c r="K308" s="50" t="s">
        <v>18</v>
      </c>
      <c r="L308" s="50" t="s">
        <v>20</v>
      </c>
      <c r="M308" s="50" t="s">
        <v>19</v>
      </c>
      <c r="N308" s="50" t="s">
        <v>18</v>
      </c>
      <c r="O308" s="50" t="s">
        <v>24</v>
      </c>
      <c r="P308" s="50" t="s">
        <v>22</v>
      </c>
      <c r="Q308" s="50" t="s">
        <v>45</v>
      </c>
      <c r="R308" s="163"/>
      <c r="S308" s="58" t="s">
        <v>0</v>
      </c>
      <c r="T308" s="1">
        <v>377.2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5">
        <f t="shared" si="96"/>
        <v>377.2</v>
      </c>
      <c r="AB308" s="54">
        <v>2018</v>
      </c>
      <c r="AC308" s="9"/>
      <c r="AD308" s="91"/>
      <c r="AE308" s="91"/>
    </row>
    <row r="309" spans="1:31" ht="16.350000000000001" hidden="1" customHeight="1" x14ac:dyDescent="0.25">
      <c r="A309" s="50" t="s">
        <v>18</v>
      </c>
      <c r="B309" s="50" t="s">
        <v>18</v>
      </c>
      <c r="C309" s="50" t="s">
        <v>24</v>
      </c>
      <c r="D309" s="50" t="s">
        <v>18</v>
      </c>
      <c r="E309" s="50" t="s">
        <v>24</v>
      </c>
      <c r="F309" s="50" t="s">
        <v>18</v>
      </c>
      <c r="G309" s="50" t="s">
        <v>43</v>
      </c>
      <c r="H309" s="50" t="s">
        <v>19</v>
      </c>
      <c r="I309" s="50" t="s">
        <v>24</v>
      </c>
      <c r="J309" s="50" t="s">
        <v>18</v>
      </c>
      <c r="K309" s="50" t="s">
        <v>18</v>
      </c>
      <c r="L309" s="50" t="s">
        <v>20</v>
      </c>
      <c r="M309" s="50" t="s">
        <v>37</v>
      </c>
      <c r="N309" s="50" t="s">
        <v>18</v>
      </c>
      <c r="O309" s="50" t="s">
        <v>43</v>
      </c>
      <c r="P309" s="50" t="s">
        <v>22</v>
      </c>
      <c r="Q309" s="50" t="s">
        <v>170</v>
      </c>
      <c r="R309" s="163"/>
      <c r="S309" s="58" t="s">
        <v>0</v>
      </c>
      <c r="T309" s="1">
        <v>30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5">
        <f t="shared" si="96"/>
        <v>30</v>
      </c>
      <c r="AB309" s="54">
        <v>2018</v>
      </c>
      <c r="AC309" s="9"/>
      <c r="AD309" s="91"/>
      <c r="AE309" s="91"/>
    </row>
    <row r="310" spans="1:31" ht="16.350000000000001" hidden="1" customHeight="1" x14ac:dyDescent="0.25">
      <c r="A310" s="50" t="s">
        <v>18</v>
      </c>
      <c r="B310" s="50" t="s">
        <v>18</v>
      </c>
      <c r="C310" s="50" t="s">
        <v>24</v>
      </c>
      <c r="D310" s="50" t="s">
        <v>18</v>
      </c>
      <c r="E310" s="50" t="s">
        <v>24</v>
      </c>
      <c r="F310" s="50" t="s">
        <v>18</v>
      </c>
      <c r="G310" s="50" t="s">
        <v>43</v>
      </c>
      <c r="H310" s="50" t="s">
        <v>19</v>
      </c>
      <c r="I310" s="50" t="s">
        <v>24</v>
      </c>
      <c r="J310" s="50" t="s">
        <v>18</v>
      </c>
      <c r="K310" s="50" t="s">
        <v>18</v>
      </c>
      <c r="L310" s="50" t="s">
        <v>20</v>
      </c>
      <c r="M310" s="50" t="s">
        <v>37</v>
      </c>
      <c r="N310" s="50" t="s">
        <v>18</v>
      </c>
      <c r="O310" s="50" t="s">
        <v>24</v>
      </c>
      <c r="P310" s="50" t="s">
        <v>22</v>
      </c>
      <c r="Q310" s="50" t="s">
        <v>46</v>
      </c>
      <c r="R310" s="163"/>
      <c r="S310" s="58" t="s">
        <v>0</v>
      </c>
      <c r="T310" s="1">
        <v>113.2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5">
        <f t="shared" si="96"/>
        <v>113.2</v>
      </c>
      <c r="AB310" s="54">
        <v>2018</v>
      </c>
      <c r="AC310" s="9"/>
      <c r="AD310" s="91"/>
      <c r="AE310" s="91"/>
    </row>
    <row r="311" spans="1:31" ht="16.350000000000001" hidden="1" customHeight="1" x14ac:dyDescent="0.25">
      <c r="A311" s="50" t="s">
        <v>18</v>
      </c>
      <c r="B311" s="50" t="s">
        <v>18</v>
      </c>
      <c r="C311" s="50" t="s">
        <v>24</v>
      </c>
      <c r="D311" s="50" t="s">
        <v>18</v>
      </c>
      <c r="E311" s="50" t="s">
        <v>24</v>
      </c>
      <c r="F311" s="50" t="s">
        <v>18</v>
      </c>
      <c r="G311" s="50" t="s">
        <v>43</v>
      </c>
      <c r="H311" s="50" t="s">
        <v>19</v>
      </c>
      <c r="I311" s="50" t="s">
        <v>24</v>
      </c>
      <c r="J311" s="50" t="s">
        <v>18</v>
      </c>
      <c r="K311" s="50" t="s">
        <v>18</v>
      </c>
      <c r="L311" s="50" t="s">
        <v>20</v>
      </c>
      <c r="M311" s="50" t="s">
        <v>37</v>
      </c>
      <c r="N311" s="50" t="s">
        <v>18</v>
      </c>
      <c r="O311" s="50" t="s">
        <v>24</v>
      </c>
      <c r="P311" s="50" t="s">
        <v>22</v>
      </c>
      <c r="Q311" s="50" t="s">
        <v>39</v>
      </c>
      <c r="R311" s="163"/>
      <c r="S311" s="58" t="s">
        <v>0</v>
      </c>
      <c r="T311" s="1">
        <v>422.6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5">
        <f t="shared" si="96"/>
        <v>422.6</v>
      </c>
      <c r="AB311" s="54">
        <v>2018</v>
      </c>
      <c r="AC311" s="9"/>
      <c r="AD311" s="91"/>
      <c r="AE311" s="91"/>
    </row>
    <row r="312" spans="1:31" ht="33.6" hidden="1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79" t="s">
        <v>194</v>
      </c>
      <c r="S312" s="75" t="s">
        <v>167</v>
      </c>
      <c r="T312" s="3">
        <v>1046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6">
        <f t="shared" si="96"/>
        <v>1046</v>
      </c>
      <c r="AB312" s="39">
        <v>2018</v>
      </c>
      <c r="AC312" s="9"/>
      <c r="AD312" s="91"/>
      <c r="AE312" s="91"/>
    </row>
    <row r="313" spans="1:31" ht="21.75" hidden="1" customHeight="1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163" t="s">
        <v>195</v>
      </c>
      <c r="S313" s="58" t="s">
        <v>0</v>
      </c>
      <c r="T313" s="1">
        <f>SUM(T314:T316)</f>
        <v>835.4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5">
        <f>SUM(T313:Y313)</f>
        <v>835.4</v>
      </c>
      <c r="AB313" s="54">
        <v>2018</v>
      </c>
      <c r="AC313" s="9"/>
      <c r="AD313" s="91"/>
      <c r="AE313" s="91"/>
    </row>
    <row r="314" spans="1:31" ht="22.9" hidden="1" customHeight="1" x14ac:dyDescent="0.25">
      <c r="A314" s="50" t="s">
        <v>18</v>
      </c>
      <c r="B314" s="50" t="s">
        <v>18</v>
      </c>
      <c r="C314" s="50" t="s">
        <v>24</v>
      </c>
      <c r="D314" s="50" t="s">
        <v>18</v>
      </c>
      <c r="E314" s="50" t="s">
        <v>21</v>
      </c>
      <c r="F314" s="50" t="s">
        <v>18</v>
      </c>
      <c r="G314" s="50" t="s">
        <v>22</v>
      </c>
      <c r="H314" s="50" t="s">
        <v>19</v>
      </c>
      <c r="I314" s="50" t="s">
        <v>24</v>
      </c>
      <c r="J314" s="50" t="s">
        <v>18</v>
      </c>
      <c r="K314" s="50" t="s">
        <v>18</v>
      </c>
      <c r="L314" s="50" t="s">
        <v>20</v>
      </c>
      <c r="M314" s="50" t="s">
        <v>19</v>
      </c>
      <c r="N314" s="50" t="s">
        <v>18</v>
      </c>
      <c r="O314" s="50" t="s">
        <v>24</v>
      </c>
      <c r="P314" s="50" t="s">
        <v>22</v>
      </c>
      <c r="Q314" s="50" t="s">
        <v>45</v>
      </c>
      <c r="R314" s="163"/>
      <c r="S314" s="58" t="s">
        <v>0</v>
      </c>
      <c r="T314" s="1">
        <v>334.2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5">
        <f>SUM(T314:Y314)</f>
        <v>334.2</v>
      </c>
      <c r="AB314" s="54">
        <v>2018</v>
      </c>
      <c r="AC314" s="9"/>
      <c r="AD314" s="91"/>
      <c r="AE314" s="91"/>
    </row>
    <row r="315" spans="1:31" ht="22.15" hidden="1" customHeight="1" x14ac:dyDescent="0.25">
      <c r="A315" s="50" t="s">
        <v>18</v>
      </c>
      <c r="B315" s="50" t="s">
        <v>18</v>
      </c>
      <c r="C315" s="50" t="s">
        <v>24</v>
      </c>
      <c r="D315" s="50" t="s">
        <v>18</v>
      </c>
      <c r="E315" s="50" t="s">
        <v>21</v>
      </c>
      <c r="F315" s="50" t="s">
        <v>18</v>
      </c>
      <c r="G315" s="50" t="s">
        <v>22</v>
      </c>
      <c r="H315" s="50" t="s">
        <v>19</v>
      </c>
      <c r="I315" s="50" t="s">
        <v>24</v>
      </c>
      <c r="J315" s="50" t="s">
        <v>18</v>
      </c>
      <c r="K315" s="50" t="s">
        <v>18</v>
      </c>
      <c r="L315" s="50" t="s">
        <v>20</v>
      </c>
      <c r="M315" s="50" t="s">
        <v>37</v>
      </c>
      <c r="N315" s="50" t="s">
        <v>18</v>
      </c>
      <c r="O315" s="50" t="s">
        <v>24</v>
      </c>
      <c r="P315" s="50" t="s">
        <v>22</v>
      </c>
      <c r="Q315" s="50" t="s">
        <v>46</v>
      </c>
      <c r="R315" s="163"/>
      <c r="S315" s="58" t="s">
        <v>0</v>
      </c>
      <c r="T315" s="1">
        <v>83.5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5">
        <f>SUM(T315:Y315)</f>
        <v>83.5</v>
      </c>
      <c r="AB315" s="54">
        <v>2018</v>
      </c>
      <c r="AC315" s="9"/>
      <c r="AD315" s="91"/>
      <c r="AE315" s="91"/>
    </row>
    <row r="316" spans="1:31" ht="21.75" hidden="1" customHeight="1" x14ac:dyDescent="0.25">
      <c r="A316" s="50" t="s">
        <v>18</v>
      </c>
      <c r="B316" s="50" t="s">
        <v>18</v>
      </c>
      <c r="C316" s="50" t="s">
        <v>24</v>
      </c>
      <c r="D316" s="50" t="s">
        <v>18</v>
      </c>
      <c r="E316" s="50" t="s">
        <v>21</v>
      </c>
      <c r="F316" s="50" t="s">
        <v>18</v>
      </c>
      <c r="G316" s="50" t="s">
        <v>22</v>
      </c>
      <c r="H316" s="50" t="s">
        <v>19</v>
      </c>
      <c r="I316" s="50" t="s">
        <v>24</v>
      </c>
      <c r="J316" s="50" t="s">
        <v>18</v>
      </c>
      <c r="K316" s="50" t="s">
        <v>18</v>
      </c>
      <c r="L316" s="50" t="s">
        <v>20</v>
      </c>
      <c r="M316" s="50" t="s">
        <v>37</v>
      </c>
      <c r="N316" s="50" t="s">
        <v>18</v>
      </c>
      <c r="O316" s="50" t="s">
        <v>24</v>
      </c>
      <c r="P316" s="50" t="s">
        <v>22</v>
      </c>
      <c r="Q316" s="50" t="s">
        <v>39</v>
      </c>
      <c r="R316" s="163"/>
      <c r="S316" s="58" t="s">
        <v>0</v>
      </c>
      <c r="T316" s="1">
        <v>417.7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5">
        <f>SUM(T316:Y316)</f>
        <v>417.7</v>
      </c>
      <c r="AB316" s="54">
        <v>2018</v>
      </c>
      <c r="AC316" s="9"/>
      <c r="AD316" s="91"/>
      <c r="AE316" s="91"/>
    </row>
    <row r="317" spans="1:31" ht="47.45" hidden="1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79" t="s">
        <v>196</v>
      </c>
      <c r="S317" s="75" t="s">
        <v>8</v>
      </c>
      <c r="T317" s="42">
        <v>1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6">
        <f>SUM(T317:Y317)</f>
        <v>1</v>
      </c>
      <c r="AB317" s="39">
        <v>2018</v>
      </c>
      <c r="AC317" s="9"/>
      <c r="AD317" s="91"/>
      <c r="AE317" s="91"/>
    </row>
    <row r="318" spans="1:31" ht="16.350000000000001" hidden="1" customHeight="1" x14ac:dyDescent="0.2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163" t="s">
        <v>197</v>
      </c>
      <c r="S318" s="58" t="s">
        <v>0</v>
      </c>
      <c r="T318" s="1">
        <f>SUM(T319:T321)</f>
        <v>952.5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5">
        <f t="shared" ref="AA318:AA351" si="99">SUM(T318:Y318)</f>
        <v>952.5</v>
      </c>
      <c r="AB318" s="54">
        <v>2018</v>
      </c>
      <c r="AC318" s="9"/>
      <c r="AD318" s="91"/>
      <c r="AE318" s="91"/>
    </row>
    <row r="319" spans="1:31" ht="16.350000000000001" hidden="1" customHeight="1" x14ac:dyDescent="0.25">
      <c r="A319" s="50" t="s">
        <v>18</v>
      </c>
      <c r="B319" s="50" t="s">
        <v>18</v>
      </c>
      <c r="C319" s="50" t="s">
        <v>24</v>
      </c>
      <c r="D319" s="50" t="s">
        <v>18</v>
      </c>
      <c r="E319" s="50" t="s">
        <v>21</v>
      </c>
      <c r="F319" s="50" t="s">
        <v>18</v>
      </c>
      <c r="G319" s="50" t="s">
        <v>22</v>
      </c>
      <c r="H319" s="50" t="s">
        <v>19</v>
      </c>
      <c r="I319" s="50" t="s">
        <v>24</v>
      </c>
      <c r="J319" s="50" t="s">
        <v>18</v>
      </c>
      <c r="K319" s="50" t="s">
        <v>18</v>
      </c>
      <c r="L319" s="50" t="s">
        <v>20</v>
      </c>
      <c r="M319" s="50" t="s">
        <v>19</v>
      </c>
      <c r="N319" s="50" t="s">
        <v>18</v>
      </c>
      <c r="O319" s="50" t="s">
        <v>24</v>
      </c>
      <c r="P319" s="50" t="s">
        <v>22</v>
      </c>
      <c r="Q319" s="50" t="s">
        <v>45</v>
      </c>
      <c r="R319" s="163"/>
      <c r="S319" s="58" t="s">
        <v>0</v>
      </c>
      <c r="T319" s="1">
        <v>381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5">
        <f t="shared" si="99"/>
        <v>381</v>
      </c>
      <c r="AB319" s="54">
        <v>2018</v>
      </c>
      <c r="AC319" s="9"/>
      <c r="AD319" s="91"/>
      <c r="AE319" s="91"/>
    </row>
    <row r="320" spans="1:31" ht="16.350000000000001" hidden="1" customHeight="1" x14ac:dyDescent="0.25">
      <c r="A320" s="50" t="s">
        <v>18</v>
      </c>
      <c r="B320" s="50" t="s">
        <v>18</v>
      </c>
      <c r="C320" s="50" t="s">
        <v>24</v>
      </c>
      <c r="D320" s="50" t="s">
        <v>18</v>
      </c>
      <c r="E320" s="50" t="s">
        <v>21</v>
      </c>
      <c r="F320" s="50" t="s">
        <v>18</v>
      </c>
      <c r="G320" s="50" t="s">
        <v>22</v>
      </c>
      <c r="H320" s="50" t="s">
        <v>19</v>
      </c>
      <c r="I320" s="50" t="s">
        <v>24</v>
      </c>
      <c r="J320" s="50" t="s">
        <v>18</v>
      </c>
      <c r="K320" s="50" t="s">
        <v>18</v>
      </c>
      <c r="L320" s="50" t="s">
        <v>20</v>
      </c>
      <c r="M320" s="50" t="s">
        <v>37</v>
      </c>
      <c r="N320" s="50" t="s">
        <v>18</v>
      </c>
      <c r="O320" s="50" t="s">
        <v>24</v>
      </c>
      <c r="P320" s="50" t="s">
        <v>22</v>
      </c>
      <c r="Q320" s="50" t="s">
        <v>46</v>
      </c>
      <c r="R320" s="163"/>
      <c r="S320" s="58" t="s">
        <v>0</v>
      </c>
      <c r="T320" s="1">
        <v>114.3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5">
        <f t="shared" si="99"/>
        <v>114.3</v>
      </c>
      <c r="AB320" s="54">
        <v>2018</v>
      </c>
      <c r="AC320" s="9"/>
      <c r="AD320" s="91"/>
      <c r="AE320" s="91"/>
    </row>
    <row r="321" spans="1:31" ht="16.350000000000001" hidden="1" customHeight="1" x14ac:dyDescent="0.25">
      <c r="A321" s="50" t="s">
        <v>18</v>
      </c>
      <c r="B321" s="50" t="s">
        <v>18</v>
      </c>
      <c r="C321" s="50" t="s">
        <v>24</v>
      </c>
      <c r="D321" s="50" t="s">
        <v>18</v>
      </c>
      <c r="E321" s="50" t="s">
        <v>21</v>
      </c>
      <c r="F321" s="50" t="s">
        <v>18</v>
      </c>
      <c r="G321" s="50" t="s">
        <v>22</v>
      </c>
      <c r="H321" s="50" t="s">
        <v>19</v>
      </c>
      <c r="I321" s="50" t="s">
        <v>24</v>
      </c>
      <c r="J321" s="50" t="s">
        <v>18</v>
      </c>
      <c r="K321" s="50" t="s">
        <v>18</v>
      </c>
      <c r="L321" s="50" t="s">
        <v>20</v>
      </c>
      <c r="M321" s="50" t="s">
        <v>37</v>
      </c>
      <c r="N321" s="50" t="s">
        <v>18</v>
      </c>
      <c r="O321" s="50" t="s">
        <v>24</v>
      </c>
      <c r="P321" s="50" t="s">
        <v>22</v>
      </c>
      <c r="Q321" s="50" t="s">
        <v>39</v>
      </c>
      <c r="R321" s="163"/>
      <c r="S321" s="58" t="s">
        <v>0</v>
      </c>
      <c r="T321" s="1">
        <v>457.2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5">
        <f t="shared" si="99"/>
        <v>457.2</v>
      </c>
      <c r="AB321" s="54">
        <v>2018</v>
      </c>
      <c r="AC321" s="9"/>
      <c r="AD321" s="91"/>
      <c r="AE321" s="91"/>
    </row>
    <row r="322" spans="1:31" ht="31.15" hidden="1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71" t="s">
        <v>198</v>
      </c>
      <c r="S322" s="75" t="s">
        <v>167</v>
      </c>
      <c r="T322" s="3">
        <v>151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6">
        <f t="shared" si="99"/>
        <v>151</v>
      </c>
      <c r="AB322" s="39">
        <v>2018</v>
      </c>
      <c r="AC322" s="9"/>
      <c r="AD322" s="91"/>
      <c r="AE322" s="91"/>
    </row>
    <row r="323" spans="1:31" ht="15.6" hidden="1" customHeight="1" x14ac:dyDescent="0.2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163" t="s">
        <v>199</v>
      </c>
      <c r="S323" s="58" t="s">
        <v>0</v>
      </c>
      <c r="T323" s="1">
        <f>SUM(T324:T326)</f>
        <v>435.8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5">
        <f t="shared" si="99"/>
        <v>435.8</v>
      </c>
      <c r="AB323" s="54">
        <v>2018</v>
      </c>
      <c r="AC323" s="9"/>
      <c r="AD323" s="91"/>
      <c r="AE323" s="91"/>
    </row>
    <row r="324" spans="1:31" ht="15.6" hidden="1" customHeight="1" x14ac:dyDescent="0.25">
      <c r="A324" s="50" t="s">
        <v>18</v>
      </c>
      <c r="B324" s="50" t="s">
        <v>18</v>
      </c>
      <c r="C324" s="50" t="s">
        <v>24</v>
      </c>
      <c r="D324" s="50" t="s">
        <v>18</v>
      </c>
      <c r="E324" s="50" t="s">
        <v>21</v>
      </c>
      <c r="F324" s="50" t="s">
        <v>18</v>
      </c>
      <c r="G324" s="50" t="s">
        <v>22</v>
      </c>
      <c r="H324" s="50" t="s">
        <v>19</v>
      </c>
      <c r="I324" s="50" t="s">
        <v>24</v>
      </c>
      <c r="J324" s="50" t="s">
        <v>18</v>
      </c>
      <c r="K324" s="50" t="s">
        <v>18</v>
      </c>
      <c r="L324" s="50" t="s">
        <v>20</v>
      </c>
      <c r="M324" s="50" t="s">
        <v>19</v>
      </c>
      <c r="N324" s="50" t="s">
        <v>18</v>
      </c>
      <c r="O324" s="50" t="s">
        <v>24</v>
      </c>
      <c r="P324" s="50" t="s">
        <v>22</v>
      </c>
      <c r="Q324" s="50" t="s">
        <v>45</v>
      </c>
      <c r="R324" s="163"/>
      <c r="S324" s="58" t="s">
        <v>0</v>
      </c>
      <c r="T324" s="1">
        <v>174.3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5">
        <f t="shared" si="99"/>
        <v>174.3</v>
      </c>
      <c r="AB324" s="54">
        <v>2018</v>
      </c>
      <c r="AC324" s="9"/>
      <c r="AD324" s="91"/>
      <c r="AE324" s="91"/>
    </row>
    <row r="325" spans="1:31" ht="15.6" hidden="1" customHeight="1" x14ac:dyDescent="0.25">
      <c r="A325" s="50" t="s">
        <v>18</v>
      </c>
      <c r="B325" s="50" t="s">
        <v>18</v>
      </c>
      <c r="C325" s="50" t="s">
        <v>24</v>
      </c>
      <c r="D325" s="50" t="s">
        <v>18</v>
      </c>
      <c r="E325" s="50" t="s">
        <v>21</v>
      </c>
      <c r="F325" s="50" t="s">
        <v>18</v>
      </c>
      <c r="G325" s="50" t="s">
        <v>22</v>
      </c>
      <c r="H325" s="50" t="s">
        <v>19</v>
      </c>
      <c r="I325" s="50" t="s">
        <v>24</v>
      </c>
      <c r="J325" s="50" t="s">
        <v>18</v>
      </c>
      <c r="K325" s="50" t="s">
        <v>18</v>
      </c>
      <c r="L325" s="50" t="s">
        <v>20</v>
      </c>
      <c r="M325" s="50" t="s">
        <v>37</v>
      </c>
      <c r="N325" s="50" t="s">
        <v>18</v>
      </c>
      <c r="O325" s="50" t="s">
        <v>24</v>
      </c>
      <c r="P325" s="50" t="s">
        <v>22</v>
      </c>
      <c r="Q325" s="50" t="s">
        <v>46</v>
      </c>
      <c r="R325" s="163"/>
      <c r="S325" s="58" t="s">
        <v>0</v>
      </c>
      <c r="T325" s="1">
        <v>45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5">
        <f t="shared" si="99"/>
        <v>45</v>
      </c>
      <c r="AB325" s="54">
        <v>2018</v>
      </c>
      <c r="AC325" s="9"/>
      <c r="AD325" s="91"/>
      <c r="AE325" s="91"/>
    </row>
    <row r="326" spans="1:31" ht="15.6" hidden="1" customHeight="1" x14ac:dyDescent="0.25">
      <c r="A326" s="50" t="s">
        <v>18</v>
      </c>
      <c r="B326" s="50" t="s">
        <v>18</v>
      </c>
      <c r="C326" s="50" t="s">
        <v>24</v>
      </c>
      <c r="D326" s="50" t="s">
        <v>18</v>
      </c>
      <c r="E326" s="50" t="s">
        <v>21</v>
      </c>
      <c r="F326" s="50" t="s">
        <v>18</v>
      </c>
      <c r="G326" s="50" t="s">
        <v>22</v>
      </c>
      <c r="H326" s="50" t="s">
        <v>19</v>
      </c>
      <c r="I326" s="50" t="s">
        <v>24</v>
      </c>
      <c r="J326" s="50" t="s">
        <v>18</v>
      </c>
      <c r="K326" s="50" t="s">
        <v>18</v>
      </c>
      <c r="L326" s="50" t="s">
        <v>20</v>
      </c>
      <c r="M326" s="50" t="s">
        <v>37</v>
      </c>
      <c r="N326" s="50" t="s">
        <v>18</v>
      </c>
      <c r="O326" s="50" t="s">
        <v>24</v>
      </c>
      <c r="P326" s="50" t="s">
        <v>22</v>
      </c>
      <c r="Q326" s="50" t="s">
        <v>39</v>
      </c>
      <c r="R326" s="163"/>
      <c r="S326" s="58" t="s">
        <v>0</v>
      </c>
      <c r="T326" s="1">
        <v>216.5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5">
        <f t="shared" si="99"/>
        <v>216.5</v>
      </c>
      <c r="AB326" s="54">
        <v>2018</v>
      </c>
      <c r="AC326" s="9"/>
      <c r="AD326" s="91"/>
      <c r="AE326" s="91"/>
    </row>
    <row r="327" spans="1:31" ht="46.9" hidden="1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71" t="s">
        <v>200</v>
      </c>
      <c r="S327" s="75" t="s">
        <v>50</v>
      </c>
      <c r="T327" s="42">
        <v>16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5">
        <f t="shared" si="99"/>
        <v>16</v>
      </c>
      <c r="AB327" s="39">
        <v>2018</v>
      </c>
      <c r="AC327" s="9"/>
      <c r="AD327" s="91"/>
      <c r="AE327" s="91"/>
    </row>
    <row r="328" spans="1:31" ht="15.6" hidden="1" customHeight="1" x14ac:dyDescent="0.2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163" t="s">
        <v>201</v>
      </c>
      <c r="S328" s="58" t="s">
        <v>0</v>
      </c>
      <c r="T328" s="1">
        <f>SUM(T329:T331)</f>
        <v>349.1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5">
        <f t="shared" si="99"/>
        <v>349.1</v>
      </c>
      <c r="AB328" s="54">
        <v>2018</v>
      </c>
      <c r="AC328" s="9"/>
      <c r="AD328" s="91"/>
      <c r="AE328" s="91"/>
    </row>
    <row r="329" spans="1:31" ht="15.6" hidden="1" customHeight="1" x14ac:dyDescent="0.25">
      <c r="A329" s="50" t="s">
        <v>18</v>
      </c>
      <c r="B329" s="50" t="s">
        <v>18</v>
      </c>
      <c r="C329" s="50" t="s">
        <v>24</v>
      </c>
      <c r="D329" s="50" t="s">
        <v>18</v>
      </c>
      <c r="E329" s="50" t="s">
        <v>21</v>
      </c>
      <c r="F329" s="50" t="s">
        <v>18</v>
      </c>
      <c r="G329" s="50" t="s">
        <v>22</v>
      </c>
      <c r="H329" s="50" t="s">
        <v>19</v>
      </c>
      <c r="I329" s="50" t="s">
        <v>24</v>
      </c>
      <c r="J329" s="50" t="s">
        <v>18</v>
      </c>
      <c r="K329" s="50" t="s">
        <v>18</v>
      </c>
      <c r="L329" s="50" t="s">
        <v>20</v>
      </c>
      <c r="M329" s="50" t="s">
        <v>19</v>
      </c>
      <c r="N329" s="50" t="s">
        <v>18</v>
      </c>
      <c r="O329" s="50" t="s">
        <v>24</v>
      </c>
      <c r="P329" s="50" t="s">
        <v>22</v>
      </c>
      <c r="Q329" s="50" t="s">
        <v>45</v>
      </c>
      <c r="R329" s="163"/>
      <c r="S329" s="58" t="s">
        <v>0</v>
      </c>
      <c r="T329" s="1">
        <v>139.6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5">
        <f t="shared" si="99"/>
        <v>139.6</v>
      </c>
      <c r="AB329" s="54">
        <v>2018</v>
      </c>
      <c r="AC329" s="9"/>
      <c r="AD329" s="91"/>
      <c r="AE329" s="91"/>
    </row>
    <row r="330" spans="1:31" ht="15.6" hidden="1" customHeight="1" x14ac:dyDescent="0.25">
      <c r="A330" s="50" t="s">
        <v>18</v>
      </c>
      <c r="B330" s="50" t="s">
        <v>18</v>
      </c>
      <c r="C330" s="50" t="s">
        <v>24</v>
      </c>
      <c r="D330" s="50" t="s">
        <v>18</v>
      </c>
      <c r="E330" s="50" t="s">
        <v>21</v>
      </c>
      <c r="F330" s="50" t="s">
        <v>18</v>
      </c>
      <c r="G330" s="50" t="s">
        <v>22</v>
      </c>
      <c r="H330" s="50" t="s">
        <v>19</v>
      </c>
      <c r="I330" s="50" t="s">
        <v>24</v>
      </c>
      <c r="J330" s="50" t="s">
        <v>18</v>
      </c>
      <c r="K330" s="50" t="s">
        <v>18</v>
      </c>
      <c r="L330" s="50" t="s">
        <v>20</v>
      </c>
      <c r="M330" s="50" t="s">
        <v>37</v>
      </c>
      <c r="N330" s="50" t="s">
        <v>18</v>
      </c>
      <c r="O330" s="50" t="s">
        <v>24</v>
      </c>
      <c r="P330" s="50" t="s">
        <v>22</v>
      </c>
      <c r="Q330" s="50" t="s">
        <v>46</v>
      </c>
      <c r="R330" s="163"/>
      <c r="S330" s="58" t="s">
        <v>0</v>
      </c>
      <c r="T330" s="1">
        <v>34.9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5">
        <f t="shared" si="99"/>
        <v>34.9</v>
      </c>
      <c r="AB330" s="54">
        <v>2018</v>
      </c>
      <c r="AC330" s="9"/>
      <c r="AD330" s="91"/>
      <c r="AE330" s="91"/>
    </row>
    <row r="331" spans="1:31" ht="15.6" hidden="1" customHeight="1" x14ac:dyDescent="0.25">
      <c r="A331" s="50" t="s">
        <v>18</v>
      </c>
      <c r="B331" s="50" t="s">
        <v>18</v>
      </c>
      <c r="C331" s="50" t="s">
        <v>24</v>
      </c>
      <c r="D331" s="50" t="s">
        <v>18</v>
      </c>
      <c r="E331" s="50" t="s">
        <v>21</v>
      </c>
      <c r="F331" s="50" t="s">
        <v>18</v>
      </c>
      <c r="G331" s="50" t="s">
        <v>22</v>
      </c>
      <c r="H331" s="50" t="s">
        <v>19</v>
      </c>
      <c r="I331" s="50" t="s">
        <v>24</v>
      </c>
      <c r="J331" s="50" t="s">
        <v>18</v>
      </c>
      <c r="K331" s="50" t="s">
        <v>18</v>
      </c>
      <c r="L331" s="50" t="s">
        <v>20</v>
      </c>
      <c r="M331" s="50" t="s">
        <v>37</v>
      </c>
      <c r="N331" s="50" t="s">
        <v>18</v>
      </c>
      <c r="O331" s="50" t="s">
        <v>24</v>
      </c>
      <c r="P331" s="50" t="s">
        <v>22</v>
      </c>
      <c r="Q331" s="50" t="s">
        <v>39</v>
      </c>
      <c r="R331" s="163"/>
      <c r="S331" s="58" t="s">
        <v>0</v>
      </c>
      <c r="T331" s="1">
        <v>174.6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5">
        <f t="shared" si="99"/>
        <v>174.6</v>
      </c>
      <c r="AB331" s="54">
        <v>2018</v>
      </c>
      <c r="AC331" s="9"/>
      <c r="AD331" s="91"/>
      <c r="AE331" s="91"/>
    </row>
    <row r="332" spans="1:31" ht="30.6" hidden="1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71" t="s">
        <v>202</v>
      </c>
      <c r="S332" s="75" t="s">
        <v>168</v>
      </c>
      <c r="T332" s="3">
        <v>49.7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6">
        <f t="shared" si="99"/>
        <v>49.7</v>
      </c>
      <c r="AB332" s="39">
        <v>2018</v>
      </c>
      <c r="AC332" s="9"/>
      <c r="AD332" s="91"/>
      <c r="AE332" s="91"/>
    </row>
    <row r="333" spans="1:31" ht="15.6" hidden="1" customHeight="1" x14ac:dyDescent="0.2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163" t="s">
        <v>203</v>
      </c>
      <c r="S333" s="58" t="s">
        <v>0</v>
      </c>
      <c r="T333" s="1">
        <f>SUM(T334:T336)</f>
        <v>508.5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5">
        <f t="shared" si="99"/>
        <v>508.5</v>
      </c>
      <c r="AB333" s="54">
        <v>2018</v>
      </c>
      <c r="AC333" s="9"/>
      <c r="AD333" s="91"/>
      <c r="AE333" s="91"/>
    </row>
    <row r="334" spans="1:31" ht="15.6" hidden="1" customHeight="1" x14ac:dyDescent="0.25">
      <c r="A334" s="50" t="s">
        <v>18</v>
      </c>
      <c r="B334" s="50" t="s">
        <v>18</v>
      </c>
      <c r="C334" s="50" t="s">
        <v>24</v>
      </c>
      <c r="D334" s="50" t="s">
        <v>18</v>
      </c>
      <c r="E334" s="50" t="s">
        <v>21</v>
      </c>
      <c r="F334" s="50" t="s">
        <v>18</v>
      </c>
      <c r="G334" s="50" t="s">
        <v>22</v>
      </c>
      <c r="H334" s="50" t="s">
        <v>19</v>
      </c>
      <c r="I334" s="50" t="s">
        <v>24</v>
      </c>
      <c r="J334" s="50" t="s">
        <v>18</v>
      </c>
      <c r="K334" s="50" t="s">
        <v>18</v>
      </c>
      <c r="L334" s="50" t="s">
        <v>20</v>
      </c>
      <c r="M334" s="50" t="s">
        <v>19</v>
      </c>
      <c r="N334" s="50" t="s">
        <v>18</v>
      </c>
      <c r="O334" s="50" t="s">
        <v>24</v>
      </c>
      <c r="P334" s="50" t="s">
        <v>22</v>
      </c>
      <c r="Q334" s="50" t="s">
        <v>45</v>
      </c>
      <c r="R334" s="163"/>
      <c r="S334" s="58" t="s">
        <v>0</v>
      </c>
      <c r="T334" s="1">
        <v>203.4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5">
        <f t="shared" si="99"/>
        <v>203.4</v>
      </c>
      <c r="AB334" s="54">
        <v>2018</v>
      </c>
      <c r="AC334" s="9"/>
      <c r="AD334" s="91"/>
      <c r="AE334" s="91"/>
    </row>
    <row r="335" spans="1:31" ht="15.6" hidden="1" customHeight="1" x14ac:dyDescent="0.25">
      <c r="A335" s="50" t="s">
        <v>18</v>
      </c>
      <c r="B335" s="50" t="s">
        <v>18</v>
      </c>
      <c r="C335" s="50" t="s">
        <v>24</v>
      </c>
      <c r="D335" s="50" t="s">
        <v>18</v>
      </c>
      <c r="E335" s="50" t="s">
        <v>21</v>
      </c>
      <c r="F335" s="50" t="s">
        <v>18</v>
      </c>
      <c r="G335" s="50" t="s">
        <v>22</v>
      </c>
      <c r="H335" s="50" t="s">
        <v>19</v>
      </c>
      <c r="I335" s="50" t="s">
        <v>24</v>
      </c>
      <c r="J335" s="50" t="s">
        <v>18</v>
      </c>
      <c r="K335" s="50" t="s">
        <v>18</v>
      </c>
      <c r="L335" s="50" t="s">
        <v>20</v>
      </c>
      <c r="M335" s="50" t="s">
        <v>37</v>
      </c>
      <c r="N335" s="50" t="s">
        <v>18</v>
      </c>
      <c r="O335" s="50" t="s">
        <v>24</v>
      </c>
      <c r="P335" s="50" t="s">
        <v>22</v>
      </c>
      <c r="Q335" s="50" t="s">
        <v>46</v>
      </c>
      <c r="R335" s="163"/>
      <c r="S335" s="58" t="s">
        <v>0</v>
      </c>
      <c r="T335" s="1">
        <v>50.9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55">
        <f t="shared" si="99"/>
        <v>50.9</v>
      </c>
      <c r="AB335" s="54">
        <v>2018</v>
      </c>
      <c r="AC335" s="9"/>
      <c r="AD335" s="91"/>
      <c r="AE335" s="91"/>
    </row>
    <row r="336" spans="1:31" ht="15.6" hidden="1" customHeight="1" x14ac:dyDescent="0.25">
      <c r="A336" s="50" t="s">
        <v>18</v>
      </c>
      <c r="B336" s="50" t="s">
        <v>18</v>
      </c>
      <c r="C336" s="50" t="s">
        <v>24</v>
      </c>
      <c r="D336" s="50" t="s">
        <v>18</v>
      </c>
      <c r="E336" s="50" t="s">
        <v>21</v>
      </c>
      <c r="F336" s="50" t="s">
        <v>18</v>
      </c>
      <c r="G336" s="50" t="s">
        <v>22</v>
      </c>
      <c r="H336" s="50" t="s">
        <v>19</v>
      </c>
      <c r="I336" s="50" t="s">
        <v>24</v>
      </c>
      <c r="J336" s="50" t="s">
        <v>18</v>
      </c>
      <c r="K336" s="50" t="s">
        <v>18</v>
      </c>
      <c r="L336" s="50" t="s">
        <v>20</v>
      </c>
      <c r="M336" s="50" t="s">
        <v>37</v>
      </c>
      <c r="N336" s="50" t="s">
        <v>18</v>
      </c>
      <c r="O336" s="50" t="s">
        <v>24</v>
      </c>
      <c r="P336" s="50" t="s">
        <v>22</v>
      </c>
      <c r="Q336" s="50" t="s">
        <v>39</v>
      </c>
      <c r="R336" s="163"/>
      <c r="S336" s="58" t="s">
        <v>0</v>
      </c>
      <c r="T336" s="1">
        <v>254.2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5">
        <f t="shared" si="99"/>
        <v>254.2</v>
      </c>
      <c r="AB336" s="54">
        <v>2018</v>
      </c>
      <c r="AC336" s="9"/>
      <c r="AD336" s="91"/>
      <c r="AE336" s="91"/>
    </row>
    <row r="337" spans="1:31" ht="31.15" hidden="1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71" t="s">
        <v>204</v>
      </c>
      <c r="S337" s="75" t="s">
        <v>168</v>
      </c>
      <c r="T337" s="3">
        <v>88.3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6">
        <f t="shared" si="99"/>
        <v>88.3</v>
      </c>
      <c r="AB337" s="39">
        <v>2018</v>
      </c>
      <c r="AC337" s="9"/>
      <c r="AD337" s="91"/>
      <c r="AE337" s="91"/>
    </row>
    <row r="338" spans="1:31" ht="15.6" customHeight="1" x14ac:dyDescent="0.25">
      <c r="A338" s="50" t="s">
        <v>18</v>
      </c>
      <c r="B338" s="50" t="s">
        <v>18</v>
      </c>
      <c r="C338" s="50" t="s">
        <v>21</v>
      </c>
      <c r="D338" s="50" t="s">
        <v>18</v>
      </c>
      <c r="E338" s="50" t="s">
        <v>18</v>
      </c>
      <c r="F338" s="50" t="s">
        <v>18</v>
      </c>
      <c r="G338" s="50" t="s">
        <v>18</v>
      </c>
      <c r="H338" s="50" t="s">
        <v>19</v>
      </c>
      <c r="I338" s="50" t="s">
        <v>24</v>
      </c>
      <c r="J338" s="50" t="s">
        <v>18</v>
      </c>
      <c r="K338" s="50" t="s">
        <v>18</v>
      </c>
      <c r="L338" s="50" t="s">
        <v>20</v>
      </c>
      <c r="M338" s="50" t="s">
        <v>18</v>
      </c>
      <c r="N338" s="50" t="s">
        <v>18</v>
      </c>
      <c r="O338" s="50" t="s">
        <v>18</v>
      </c>
      <c r="P338" s="50" t="s">
        <v>18</v>
      </c>
      <c r="Q338" s="50" t="s">
        <v>18</v>
      </c>
      <c r="R338" s="164" t="s">
        <v>133</v>
      </c>
      <c r="S338" s="157" t="s">
        <v>0</v>
      </c>
      <c r="T338" s="55">
        <f>SUM(T339:T342)</f>
        <v>8990.0999999999985</v>
      </c>
      <c r="U338" s="55">
        <f>SUM(U339:U345)</f>
        <v>8489.7000000000007</v>
      </c>
      <c r="V338" s="55">
        <v>0</v>
      </c>
      <c r="W338" s="55">
        <f>SUM(W339:W349)</f>
        <v>6534.5</v>
      </c>
      <c r="X338" s="55">
        <f t="shared" ref="X338:Z338" si="100">SUM(X339:X349)</f>
        <v>2060.9</v>
      </c>
      <c r="Y338" s="55">
        <f t="shared" si="100"/>
        <v>0</v>
      </c>
      <c r="Z338" s="55">
        <f t="shared" si="100"/>
        <v>0</v>
      </c>
      <c r="AA338" s="55">
        <f>SUM(T338:Z338)</f>
        <v>26075.200000000001</v>
      </c>
      <c r="AB338" s="54">
        <v>2022</v>
      </c>
      <c r="AC338" s="114"/>
      <c r="AD338" s="91"/>
      <c r="AE338" s="91"/>
    </row>
    <row r="339" spans="1:31" x14ac:dyDescent="0.25">
      <c r="A339" s="50" t="s">
        <v>18</v>
      </c>
      <c r="B339" s="50" t="s">
        <v>18</v>
      </c>
      <c r="C339" s="50" t="s">
        <v>21</v>
      </c>
      <c r="D339" s="50" t="s">
        <v>18</v>
      </c>
      <c r="E339" s="50" t="s">
        <v>18</v>
      </c>
      <c r="F339" s="50" t="s">
        <v>18</v>
      </c>
      <c r="G339" s="50" t="s">
        <v>18</v>
      </c>
      <c r="H339" s="50" t="s">
        <v>19</v>
      </c>
      <c r="I339" s="50" t="s">
        <v>24</v>
      </c>
      <c r="J339" s="50" t="s">
        <v>18</v>
      </c>
      <c r="K339" s="50" t="s">
        <v>18</v>
      </c>
      <c r="L339" s="50" t="s">
        <v>20</v>
      </c>
      <c r="M339" s="50" t="s">
        <v>19</v>
      </c>
      <c r="N339" s="50" t="s">
        <v>18</v>
      </c>
      <c r="O339" s="50" t="s">
        <v>24</v>
      </c>
      <c r="P339" s="50" t="s">
        <v>22</v>
      </c>
      <c r="Q339" s="50" t="s">
        <v>45</v>
      </c>
      <c r="R339" s="165"/>
      <c r="S339" s="158"/>
      <c r="T339" s="1">
        <f>T353+T359+T366+T373+T380+T387+T394+T401+T408+T415+T421+T427</f>
        <v>3538.9999999999995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5">
        <f t="shared" ref="AA339:AA349" si="101">SUM(T339:Z339)</f>
        <v>3538.9999999999995</v>
      </c>
      <c r="AB339" s="54">
        <v>2018</v>
      </c>
      <c r="AC339" s="114"/>
      <c r="AD339" s="91"/>
      <c r="AE339" s="91"/>
    </row>
    <row r="340" spans="1:31" x14ac:dyDescent="0.25">
      <c r="A340" s="50" t="s">
        <v>18</v>
      </c>
      <c r="B340" s="50" t="s">
        <v>18</v>
      </c>
      <c r="C340" s="50" t="s">
        <v>21</v>
      </c>
      <c r="D340" s="50" t="s">
        <v>18</v>
      </c>
      <c r="E340" s="50" t="s">
        <v>18</v>
      </c>
      <c r="F340" s="50" t="s">
        <v>18</v>
      </c>
      <c r="G340" s="50" t="s">
        <v>18</v>
      </c>
      <c r="H340" s="50" t="s">
        <v>19</v>
      </c>
      <c r="I340" s="50" t="s">
        <v>24</v>
      </c>
      <c r="J340" s="50" t="s">
        <v>18</v>
      </c>
      <c r="K340" s="50" t="s">
        <v>18</v>
      </c>
      <c r="L340" s="50" t="s">
        <v>20</v>
      </c>
      <c r="M340" s="50" t="s">
        <v>19</v>
      </c>
      <c r="N340" s="50" t="s">
        <v>18</v>
      </c>
      <c r="O340" s="50" t="s">
        <v>43</v>
      </c>
      <c r="P340" s="50" t="s">
        <v>22</v>
      </c>
      <c r="Q340" s="50" t="s">
        <v>170</v>
      </c>
      <c r="R340" s="165"/>
      <c r="S340" s="158"/>
      <c r="T340" s="1">
        <v>339.9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5">
        <f t="shared" si="101"/>
        <v>339.9</v>
      </c>
      <c r="AB340" s="54">
        <v>2018</v>
      </c>
      <c r="AC340" s="114"/>
      <c r="AD340" s="91"/>
      <c r="AE340" s="91"/>
    </row>
    <row r="341" spans="1:31" x14ac:dyDescent="0.25">
      <c r="A341" s="50" t="s">
        <v>18</v>
      </c>
      <c r="B341" s="50" t="s">
        <v>18</v>
      </c>
      <c r="C341" s="50" t="s">
        <v>21</v>
      </c>
      <c r="D341" s="50" t="s">
        <v>18</v>
      </c>
      <c r="E341" s="50" t="s">
        <v>18</v>
      </c>
      <c r="F341" s="50" t="s">
        <v>18</v>
      </c>
      <c r="G341" s="50" t="s">
        <v>18</v>
      </c>
      <c r="H341" s="50" t="s">
        <v>19</v>
      </c>
      <c r="I341" s="50" t="s">
        <v>24</v>
      </c>
      <c r="J341" s="50" t="s">
        <v>18</v>
      </c>
      <c r="K341" s="50" t="s">
        <v>18</v>
      </c>
      <c r="L341" s="50" t="s">
        <v>20</v>
      </c>
      <c r="M341" s="50" t="s">
        <v>37</v>
      </c>
      <c r="N341" s="50" t="s">
        <v>18</v>
      </c>
      <c r="O341" s="50" t="s">
        <v>24</v>
      </c>
      <c r="P341" s="50" t="s">
        <v>22</v>
      </c>
      <c r="Q341" s="50" t="s">
        <v>46</v>
      </c>
      <c r="R341" s="165"/>
      <c r="S341" s="158"/>
      <c r="T341" s="1">
        <f>T354+T355+T361+T362+T368+T369+T375+T376+T382+T383+T389+T390+T396+T397+T403+T404+T410+T411+T417+T423+T430+T429</f>
        <v>1913.5</v>
      </c>
      <c r="U341" s="1">
        <v>1308.8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5">
        <f t="shared" si="101"/>
        <v>3222.3</v>
      </c>
      <c r="AB341" s="54">
        <v>2019</v>
      </c>
      <c r="AC341" s="114"/>
      <c r="AD341" s="91"/>
      <c r="AE341" s="91"/>
    </row>
    <row r="342" spans="1:31" x14ac:dyDescent="0.25">
      <c r="A342" s="50" t="s">
        <v>18</v>
      </c>
      <c r="B342" s="50" t="s">
        <v>18</v>
      </c>
      <c r="C342" s="50" t="s">
        <v>21</v>
      </c>
      <c r="D342" s="50" t="s">
        <v>18</v>
      </c>
      <c r="E342" s="50" t="s">
        <v>18</v>
      </c>
      <c r="F342" s="50" t="s">
        <v>18</v>
      </c>
      <c r="G342" s="50" t="s">
        <v>18</v>
      </c>
      <c r="H342" s="50" t="s">
        <v>19</v>
      </c>
      <c r="I342" s="50" t="s">
        <v>24</v>
      </c>
      <c r="J342" s="50" t="s">
        <v>18</v>
      </c>
      <c r="K342" s="50" t="s">
        <v>18</v>
      </c>
      <c r="L342" s="50" t="s">
        <v>20</v>
      </c>
      <c r="M342" s="50" t="s">
        <v>37</v>
      </c>
      <c r="N342" s="50" t="s">
        <v>18</v>
      </c>
      <c r="O342" s="50" t="s">
        <v>24</v>
      </c>
      <c r="P342" s="50" t="s">
        <v>22</v>
      </c>
      <c r="Q342" s="50" t="s">
        <v>39</v>
      </c>
      <c r="R342" s="165"/>
      <c r="S342" s="158"/>
      <c r="T342" s="1">
        <v>3197.7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5">
        <f t="shared" si="101"/>
        <v>3197.7</v>
      </c>
      <c r="AB342" s="54">
        <v>2018</v>
      </c>
      <c r="AC342" s="114"/>
      <c r="AD342" s="91"/>
      <c r="AE342" s="91"/>
    </row>
    <row r="343" spans="1:31" x14ac:dyDescent="0.25">
      <c r="A343" s="50" t="s">
        <v>18</v>
      </c>
      <c r="B343" s="50" t="s">
        <v>18</v>
      </c>
      <c r="C343" s="50" t="s">
        <v>21</v>
      </c>
      <c r="D343" s="50" t="s">
        <v>18</v>
      </c>
      <c r="E343" s="50" t="s">
        <v>18</v>
      </c>
      <c r="F343" s="50" t="s">
        <v>18</v>
      </c>
      <c r="G343" s="50" t="s">
        <v>18</v>
      </c>
      <c r="H343" s="50" t="s">
        <v>19</v>
      </c>
      <c r="I343" s="50" t="s">
        <v>24</v>
      </c>
      <c r="J343" s="50" t="s">
        <v>18</v>
      </c>
      <c r="K343" s="50" t="s">
        <v>18</v>
      </c>
      <c r="L343" s="50" t="s">
        <v>20</v>
      </c>
      <c r="M343" s="50" t="s">
        <v>19</v>
      </c>
      <c r="N343" s="50" t="s">
        <v>18</v>
      </c>
      <c r="O343" s="50" t="s">
        <v>24</v>
      </c>
      <c r="P343" s="50" t="s">
        <v>22</v>
      </c>
      <c r="Q343" s="50" t="s">
        <v>18</v>
      </c>
      <c r="R343" s="165"/>
      <c r="S343" s="158"/>
      <c r="T343" s="1">
        <v>0</v>
      </c>
      <c r="U343" s="1">
        <f>4114.8-123.3</f>
        <v>3991.5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5">
        <f t="shared" si="101"/>
        <v>3991.5</v>
      </c>
      <c r="AB343" s="54">
        <v>2019</v>
      </c>
      <c r="AC343" s="114"/>
      <c r="AD343" s="91"/>
      <c r="AE343" s="91"/>
    </row>
    <row r="344" spans="1:31" x14ac:dyDescent="0.25">
      <c r="A344" s="50" t="s">
        <v>18</v>
      </c>
      <c r="B344" s="50" t="s">
        <v>18</v>
      </c>
      <c r="C344" s="50" t="s">
        <v>21</v>
      </c>
      <c r="D344" s="50" t="s">
        <v>18</v>
      </c>
      <c r="E344" s="50" t="s">
        <v>18</v>
      </c>
      <c r="F344" s="50" t="s">
        <v>18</v>
      </c>
      <c r="G344" s="50" t="s">
        <v>18</v>
      </c>
      <c r="H344" s="50" t="s">
        <v>19</v>
      </c>
      <c r="I344" s="50" t="s">
        <v>24</v>
      </c>
      <c r="J344" s="50" t="s">
        <v>18</v>
      </c>
      <c r="K344" s="50" t="s">
        <v>18</v>
      </c>
      <c r="L344" s="50" t="s">
        <v>20</v>
      </c>
      <c r="M344" s="50" t="s">
        <v>37</v>
      </c>
      <c r="N344" s="50" t="s">
        <v>18</v>
      </c>
      <c r="O344" s="50" t="s">
        <v>24</v>
      </c>
      <c r="P344" s="50" t="s">
        <v>22</v>
      </c>
      <c r="Q344" s="50" t="s">
        <v>18</v>
      </c>
      <c r="R344" s="165"/>
      <c r="S344" s="158"/>
      <c r="T344" s="1">
        <v>0</v>
      </c>
      <c r="U344" s="1">
        <f>3035.2-53.3</f>
        <v>2981.8999999999996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5">
        <f t="shared" si="101"/>
        <v>2981.8999999999996</v>
      </c>
      <c r="AB344" s="54">
        <v>2019</v>
      </c>
      <c r="AC344" s="114"/>
      <c r="AD344" s="91"/>
      <c r="AE344" s="91"/>
    </row>
    <row r="345" spans="1:31" x14ac:dyDescent="0.25">
      <c r="A345" s="50" t="s">
        <v>18</v>
      </c>
      <c r="B345" s="50" t="s">
        <v>18</v>
      </c>
      <c r="C345" s="50" t="s">
        <v>21</v>
      </c>
      <c r="D345" s="50" t="s">
        <v>18</v>
      </c>
      <c r="E345" s="50" t="s">
        <v>18</v>
      </c>
      <c r="F345" s="50" t="s">
        <v>18</v>
      </c>
      <c r="G345" s="50" t="s">
        <v>18</v>
      </c>
      <c r="H345" s="50" t="s">
        <v>19</v>
      </c>
      <c r="I345" s="50" t="s">
        <v>24</v>
      </c>
      <c r="J345" s="50" t="s">
        <v>18</v>
      </c>
      <c r="K345" s="50" t="s">
        <v>18</v>
      </c>
      <c r="L345" s="50" t="s">
        <v>20</v>
      </c>
      <c r="M345" s="50" t="s">
        <v>19</v>
      </c>
      <c r="N345" s="50" t="s">
        <v>18</v>
      </c>
      <c r="O345" s="50" t="s">
        <v>43</v>
      </c>
      <c r="P345" s="50" t="s">
        <v>22</v>
      </c>
      <c r="Q345" s="50" t="s">
        <v>18</v>
      </c>
      <c r="R345" s="165"/>
      <c r="S345" s="158"/>
      <c r="T345" s="1">
        <v>0</v>
      </c>
      <c r="U345" s="1">
        <f>215-7.5</f>
        <v>207.5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5">
        <f t="shared" si="101"/>
        <v>207.5</v>
      </c>
      <c r="AB345" s="54">
        <v>2019</v>
      </c>
      <c r="AC345" s="114"/>
      <c r="AD345" s="91"/>
      <c r="AE345" s="91"/>
    </row>
    <row r="346" spans="1:31" x14ac:dyDescent="0.25">
      <c r="A346" s="50" t="s">
        <v>18</v>
      </c>
      <c r="B346" s="50" t="s">
        <v>18</v>
      </c>
      <c r="C346" s="50" t="s">
        <v>21</v>
      </c>
      <c r="D346" s="50" t="s">
        <v>18</v>
      </c>
      <c r="E346" s="50" t="s">
        <v>18</v>
      </c>
      <c r="F346" s="50" t="s">
        <v>18</v>
      </c>
      <c r="G346" s="50" t="s">
        <v>18</v>
      </c>
      <c r="H346" s="50" t="s">
        <v>19</v>
      </c>
      <c r="I346" s="50" t="s">
        <v>24</v>
      </c>
      <c r="J346" s="50" t="s">
        <v>18</v>
      </c>
      <c r="K346" s="50" t="s">
        <v>18</v>
      </c>
      <c r="L346" s="50" t="s">
        <v>20</v>
      </c>
      <c r="M346" s="50" t="s">
        <v>37</v>
      </c>
      <c r="N346" s="50" t="s">
        <v>43</v>
      </c>
      <c r="O346" s="50" t="s">
        <v>18</v>
      </c>
      <c r="P346" s="50" t="s">
        <v>18</v>
      </c>
      <c r="Q346" s="50" t="s">
        <v>18</v>
      </c>
      <c r="R346" s="165"/>
      <c r="S346" s="158"/>
      <c r="T346" s="1">
        <v>0</v>
      </c>
      <c r="U346" s="1">
        <v>0</v>
      </c>
      <c r="V346" s="1">
        <v>0</v>
      </c>
      <c r="W346" s="1">
        <f>1891+153</f>
        <v>2044</v>
      </c>
      <c r="X346" s="1">
        <f>987.7+37-1.2</f>
        <v>1023.5</v>
      </c>
      <c r="Y346" s="1">
        <v>0</v>
      </c>
      <c r="Z346" s="1">
        <v>0</v>
      </c>
      <c r="AA346" s="55">
        <f t="shared" si="101"/>
        <v>3067.5</v>
      </c>
      <c r="AB346" s="54">
        <v>2022</v>
      </c>
      <c r="AC346" s="114"/>
      <c r="AD346" s="91"/>
      <c r="AE346" s="91"/>
    </row>
    <row r="347" spans="1:31" x14ac:dyDescent="0.25">
      <c r="A347" s="50" t="s">
        <v>18</v>
      </c>
      <c r="B347" s="50" t="s">
        <v>18</v>
      </c>
      <c r="C347" s="50" t="s">
        <v>21</v>
      </c>
      <c r="D347" s="50" t="s">
        <v>18</v>
      </c>
      <c r="E347" s="50" t="s">
        <v>18</v>
      </c>
      <c r="F347" s="50" t="s">
        <v>18</v>
      </c>
      <c r="G347" s="50" t="s">
        <v>18</v>
      </c>
      <c r="H347" s="50" t="s">
        <v>19</v>
      </c>
      <c r="I347" s="50" t="s">
        <v>24</v>
      </c>
      <c r="J347" s="50" t="s">
        <v>18</v>
      </c>
      <c r="K347" s="50" t="s">
        <v>18</v>
      </c>
      <c r="L347" s="50" t="s">
        <v>20</v>
      </c>
      <c r="M347" s="50" t="s">
        <v>19</v>
      </c>
      <c r="N347" s="50" t="s">
        <v>43</v>
      </c>
      <c r="O347" s="50" t="s">
        <v>18</v>
      </c>
      <c r="P347" s="50" t="s">
        <v>18</v>
      </c>
      <c r="Q347" s="50" t="s">
        <v>18</v>
      </c>
      <c r="R347" s="165"/>
      <c r="S347" s="158"/>
      <c r="T347" s="1">
        <v>0</v>
      </c>
      <c r="U347" s="1">
        <v>0</v>
      </c>
      <c r="V347" s="1">
        <v>0</v>
      </c>
      <c r="W347" s="1">
        <v>3135.4</v>
      </c>
      <c r="X347" s="1">
        <v>600</v>
      </c>
      <c r="Y347" s="1">
        <v>0</v>
      </c>
      <c r="Z347" s="1">
        <v>0</v>
      </c>
      <c r="AA347" s="55">
        <f t="shared" si="101"/>
        <v>3735.4</v>
      </c>
      <c r="AB347" s="54">
        <v>2022</v>
      </c>
      <c r="AC347" s="114"/>
      <c r="AD347" s="91"/>
      <c r="AE347" s="91"/>
    </row>
    <row r="348" spans="1:31" x14ac:dyDescent="0.25">
      <c r="A348" s="50" t="s">
        <v>18</v>
      </c>
      <c r="B348" s="50" t="s">
        <v>18</v>
      </c>
      <c r="C348" s="50" t="s">
        <v>21</v>
      </c>
      <c r="D348" s="50" t="s">
        <v>18</v>
      </c>
      <c r="E348" s="50" t="s">
        <v>18</v>
      </c>
      <c r="F348" s="50" t="s">
        <v>18</v>
      </c>
      <c r="G348" s="50" t="s">
        <v>18</v>
      </c>
      <c r="H348" s="50" t="s">
        <v>19</v>
      </c>
      <c r="I348" s="50" t="s">
        <v>24</v>
      </c>
      <c r="J348" s="50" t="s">
        <v>18</v>
      </c>
      <c r="K348" s="50" t="s">
        <v>18</v>
      </c>
      <c r="L348" s="50" t="s">
        <v>20</v>
      </c>
      <c r="M348" s="50" t="s">
        <v>37</v>
      </c>
      <c r="N348" s="50" t="s">
        <v>43</v>
      </c>
      <c r="O348" s="50" t="s">
        <v>46</v>
      </c>
      <c r="P348" s="50" t="s">
        <v>18</v>
      </c>
      <c r="Q348" s="50" t="s">
        <v>18</v>
      </c>
      <c r="R348" s="165"/>
      <c r="S348" s="158"/>
      <c r="T348" s="1">
        <v>0</v>
      </c>
      <c r="U348" s="1">
        <v>0</v>
      </c>
      <c r="V348" s="1">
        <v>0</v>
      </c>
      <c r="W348" s="1">
        <v>1195.0999999999999</v>
      </c>
      <c r="X348" s="1">
        <v>437.4</v>
      </c>
      <c r="Y348" s="1">
        <v>0</v>
      </c>
      <c r="Z348" s="1">
        <v>0</v>
      </c>
      <c r="AA348" s="55">
        <f t="shared" si="101"/>
        <v>1632.5</v>
      </c>
      <c r="AB348" s="54">
        <v>2022</v>
      </c>
      <c r="AC348" s="114"/>
      <c r="AD348" s="91"/>
      <c r="AE348" s="91"/>
    </row>
    <row r="349" spans="1:31" x14ac:dyDescent="0.25">
      <c r="A349" s="50" t="s">
        <v>18</v>
      </c>
      <c r="B349" s="50" t="s">
        <v>18</v>
      </c>
      <c r="C349" s="50" t="s">
        <v>21</v>
      </c>
      <c r="D349" s="50" t="s">
        <v>18</v>
      </c>
      <c r="E349" s="50" t="s">
        <v>18</v>
      </c>
      <c r="F349" s="50" t="s">
        <v>18</v>
      </c>
      <c r="G349" s="50" t="s">
        <v>18</v>
      </c>
      <c r="H349" s="50" t="s">
        <v>19</v>
      </c>
      <c r="I349" s="50" t="s">
        <v>24</v>
      </c>
      <c r="J349" s="50" t="s">
        <v>18</v>
      </c>
      <c r="K349" s="50" t="s">
        <v>18</v>
      </c>
      <c r="L349" s="50" t="s">
        <v>20</v>
      </c>
      <c r="M349" s="50" t="s">
        <v>19</v>
      </c>
      <c r="N349" s="50" t="s">
        <v>43</v>
      </c>
      <c r="O349" s="50" t="s">
        <v>22</v>
      </c>
      <c r="P349" s="50" t="s">
        <v>18</v>
      </c>
      <c r="Q349" s="50" t="s">
        <v>18</v>
      </c>
      <c r="R349" s="166"/>
      <c r="S349" s="159"/>
      <c r="T349" s="1">
        <v>0</v>
      </c>
      <c r="U349" s="1">
        <v>0</v>
      </c>
      <c r="V349" s="1">
        <v>0</v>
      </c>
      <c r="W349" s="1">
        <v>160</v>
      </c>
      <c r="X349" s="1">
        <v>0</v>
      </c>
      <c r="Y349" s="1">
        <v>0</v>
      </c>
      <c r="Z349" s="1">
        <v>0</v>
      </c>
      <c r="AA349" s="55">
        <f t="shared" si="101"/>
        <v>160</v>
      </c>
      <c r="AB349" s="54">
        <v>2021</v>
      </c>
      <c r="AC349" s="114"/>
      <c r="AD349" s="91"/>
      <c r="AE349" s="91"/>
    </row>
    <row r="350" spans="1:31" ht="35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71" t="s">
        <v>281</v>
      </c>
      <c r="S350" s="57" t="s">
        <v>52</v>
      </c>
      <c r="T350" s="3">
        <v>2.7</v>
      </c>
      <c r="U350" s="3">
        <v>1</v>
      </c>
      <c r="V350" s="3">
        <v>0</v>
      </c>
      <c r="W350" s="3">
        <v>2.2000000000000002</v>
      </c>
      <c r="X350" s="3">
        <v>0.8</v>
      </c>
      <c r="Y350" s="3">
        <v>0</v>
      </c>
      <c r="Z350" s="3">
        <v>0</v>
      </c>
      <c r="AA350" s="6">
        <f t="shared" si="99"/>
        <v>6.7</v>
      </c>
      <c r="AB350" s="39">
        <v>2022</v>
      </c>
      <c r="AC350" s="9"/>
      <c r="AD350" s="91"/>
      <c r="AE350" s="91"/>
    </row>
    <row r="351" spans="1:31" ht="32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71" t="s">
        <v>282</v>
      </c>
      <c r="S351" s="75" t="s">
        <v>50</v>
      </c>
      <c r="T351" s="42">
        <v>11</v>
      </c>
      <c r="U351" s="42">
        <v>6</v>
      </c>
      <c r="V351" s="42">
        <v>0</v>
      </c>
      <c r="W351" s="42">
        <v>4</v>
      </c>
      <c r="X351" s="42">
        <v>1</v>
      </c>
      <c r="Y351" s="42">
        <v>0</v>
      </c>
      <c r="Z351" s="42">
        <v>0</v>
      </c>
      <c r="AA351" s="45">
        <f t="shared" si="99"/>
        <v>22</v>
      </c>
      <c r="AB351" s="39">
        <v>2022</v>
      </c>
      <c r="AC351" s="9"/>
      <c r="AD351" s="91"/>
      <c r="AE351" s="91"/>
    </row>
    <row r="352" spans="1:31" ht="15.6" hidden="1" customHeight="1" x14ac:dyDescent="0.2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163" t="s">
        <v>205</v>
      </c>
      <c r="S352" s="58" t="s">
        <v>0</v>
      </c>
      <c r="T352" s="1">
        <f>SUM(T353:T356)</f>
        <v>1027.7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5">
        <f t="shared" si="96"/>
        <v>1027.7</v>
      </c>
      <c r="AB352" s="54">
        <v>2018</v>
      </c>
      <c r="AC352" s="9"/>
      <c r="AD352" s="91"/>
      <c r="AE352" s="91"/>
    </row>
    <row r="353" spans="1:31" ht="15.6" hidden="1" customHeight="1" x14ac:dyDescent="0.25">
      <c r="A353" s="50" t="s">
        <v>18</v>
      </c>
      <c r="B353" s="50" t="s">
        <v>18</v>
      </c>
      <c r="C353" s="50" t="s">
        <v>21</v>
      </c>
      <c r="D353" s="50" t="s">
        <v>18</v>
      </c>
      <c r="E353" s="50" t="s">
        <v>21</v>
      </c>
      <c r="F353" s="50" t="s">
        <v>18</v>
      </c>
      <c r="G353" s="50" t="s">
        <v>22</v>
      </c>
      <c r="H353" s="50" t="s">
        <v>19</v>
      </c>
      <c r="I353" s="50" t="s">
        <v>24</v>
      </c>
      <c r="J353" s="50" t="s">
        <v>18</v>
      </c>
      <c r="K353" s="50" t="s">
        <v>18</v>
      </c>
      <c r="L353" s="50" t="s">
        <v>20</v>
      </c>
      <c r="M353" s="50" t="s">
        <v>19</v>
      </c>
      <c r="N353" s="50" t="s">
        <v>18</v>
      </c>
      <c r="O353" s="50" t="s">
        <v>24</v>
      </c>
      <c r="P353" s="50" t="s">
        <v>22</v>
      </c>
      <c r="Q353" s="50" t="s">
        <v>45</v>
      </c>
      <c r="R353" s="163"/>
      <c r="S353" s="58" t="s">
        <v>0</v>
      </c>
      <c r="T353" s="1">
        <v>400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5">
        <f t="shared" si="96"/>
        <v>400</v>
      </c>
      <c r="AB353" s="54">
        <v>2018</v>
      </c>
      <c r="AC353" s="9"/>
      <c r="AD353" s="91"/>
      <c r="AE353" s="91"/>
    </row>
    <row r="354" spans="1:31" ht="15.6" hidden="1" customHeight="1" x14ac:dyDescent="0.25">
      <c r="A354" s="50" t="s">
        <v>18</v>
      </c>
      <c r="B354" s="50" t="s">
        <v>18</v>
      </c>
      <c r="C354" s="50" t="s">
        <v>21</v>
      </c>
      <c r="D354" s="50" t="s">
        <v>18</v>
      </c>
      <c r="E354" s="50" t="s">
        <v>21</v>
      </c>
      <c r="F354" s="50" t="s">
        <v>18</v>
      </c>
      <c r="G354" s="50" t="s">
        <v>22</v>
      </c>
      <c r="H354" s="50" t="s">
        <v>19</v>
      </c>
      <c r="I354" s="50" t="s">
        <v>24</v>
      </c>
      <c r="J354" s="50" t="s">
        <v>18</v>
      </c>
      <c r="K354" s="50" t="s">
        <v>18</v>
      </c>
      <c r="L354" s="50" t="s">
        <v>20</v>
      </c>
      <c r="M354" s="50" t="s">
        <v>37</v>
      </c>
      <c r="N354" s="50" t="s">
        <v>18</v>
      </c>
      <c r="O354" s="50" t="s">
        <v>24</v>
      </c>
      <c r="P354" s="50" t="s">
        <v>22</v>
      </c>
      <c r="Q354" s="50" t="s">
        <v>46</v>
      </c>
      <c r="R354" s="163"/>
      <c r="S354" s="58" t="s">
        <v>0</v>
      </c>
      <c r="T354" s="1">
        <v>14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5">
        <f t="shared" si="96"/>
        <v>14</v>
      </c>
      <c r="AB354" s="54">
        <v>2018</v>
      </c>
      <c r="AC354" s="9"/>
      <c r="AD354" s="91"/>
      <c r="AE354" s="91"/>
    </row>
    <row r="355" spans="1:31" ht="15.6" hidden="1" customHeight="1" x14ac:dyDescent="0.25">
      <c r="A355" s="50" t="s">
        <v>18</v>
      </c>
      <c r="B355" s="50" t="s">
        <v>18</v>
      </c>
      <c r="C355" s="50" t="s">
        <v>21</v>
      </c>
      <c r="D355" s="50" t="s">
        <v>18</v>
      </c>
      <c r="E355" s="50" t="s">
        <v>21</v>
      </c>
      <c r="F355" s="50" t="s">
        <v>18</v>
      </c>
      <c r="G355" s="50" t="s">
        <v>22</v>
      </c>
      <c r="H355" s="50" t="s">
        <v>19</v>
      </c>
      <c r="I355" s="50" t="s">
        <v>24</v>
      </c>
      <c r="J355" s="50" t="s">
        <v>18</v>
      </c>
      <c r="K355" s="50" t="s">
        <v>18</v>
      </c>
      <c r="L355" s="50" t="s">
        <v>20</v>
      </c>
      <c r="M355" s="50" t="s">
        <v>37</v>
      </c>
      <c r="N355" s="50" t="s">
        <v>18</v>
      </c>
      <c r="O355" s="50" t="s">
        <v>24</v>
      </c>
      <c r="P355" s="50" t="s">
        <v>22</v>
      </c>
      <c r="Q355" s="50" t="s">
        <v>46</v>
      </c>
      <c r="R355" s="163"/>
      <c r="S355" s="58" t="s">
        <v>0</v>
      </c>
      <c r="T355" s="1">
        <v>157.4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5">
        <f t="shared" si="96"/>
        <v>157.4</v>
      </c>
      <c r="AB355" s="54">
        <v>2018</v>
      </c>
      <c r="AC355" s="9"/>
      <c r="AD355" s="91"/>
      <c r="AE355" s="91"/>
    </row>
    <row r="356" spans="1:31" ht="15.6" hidden="1" customHeight="1" x14ac:dyDescent="0.25">
      <c r="A356" s="50" t="s">
        <v>18</v>
      </c>
      <c r="B356" s="50" t="s">
        <v>18</v>
      </c>
      <c r="C356" s="50" t="s">
        <v>21</v>
      </c>
      <c r="D356" s="50" t="s">
        <v>18</v>
      </c>
      <c r="E356" s="50" t="s">
        <v>21</v>
      </c>
      <c r="F356" s="50" t="s">
        <v>18</v>
      </c>
      <c r="G356" s="50" t="s">
        <v>22</v>
      </c>
      <c r="H356" s="50" t="s">
        <v>19</v>
      </c>
      <c r="I356" s="50" t="s">
        <v>24</v>
      </c>
      <c r="J356" s="50" t="s">
        <v>18</v>
      </c>
      <c r="K356" s="50" t="s">
        <v>18</v>
      </c>
      <c r="L356" s="50" t="s">
        <v>20</v>
      </c>
      <c r="M356" s="50" t="s">
        <v>37</v>
      </c>
      <c r="N356" s="50" t="s">
        <v>18</v>
      </c>
      <c r="O356" s="50" t="s">
        <v>24</v>
      </c>
      <c r="P356" s="50" t="s">
        <v>22</v>
      </c>
      <c r="Q356" s="50" t="s">
        <v>39</v>
      </c>
      <c r="R356" s="163"/>
      <c r="S356" s="58" t="s">
        <v>0</v>
      </c>
      <c r="T356" s="1">
        <v>456.3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5">
        <f t="shared" si="96"/>
        <v>456.3</v>
      </c>
      <c r="AB356" s="54">
        <v>2018</v>
      </c>
      <c r="AC356" s="9"/>
      <c r="AD356" s="91"/>
      <c r="AE356" s="91"/>
    </row>
    <row r="357" spans="1:31" ht="51" hidden="1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71" t="s">
        <v>206</v>
      </c>
      <c r="S357" s="75" t="s">
        <v>167</v>
      </c>
      <c r="T357" s="3">
        <v>754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6">
        <f t="shared" si="96"/>
        <v>754</v>
      </c>
      <c r="AB357" s="39">
        <v>2018</v>
      </c>
      <c r="AC357" s="9"/>
      <c r="AD357" s="91"/>
      <c r="AE357" s="91"/>
    </row>
    <row r="358" spans="1:31" ht="16.149999999999999" hidden="1" customHeight="1" x14ac:dyDescent="0.2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163" t="s">
        <v>207</v>
      </c>
      <c r="S358" s="58" t="s">
        <v>0</v>
      </c>
      <c r="T358" s="1">
        <f>SUM(T359:T363)</f>
        <v>244.8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5">
        <f t="shared" si="96"/>
        <v>244.8</v>
      </c>
      <c r="AB358" s="54">
        <v>2018</v>
      </c>
      <c r="AC358" s="9"/>
      <c r="AD358" s="91"/>
      <c r="AE358" s="91"/>
    </row>
    <row r="359" spans="1:31" ht="16.149999999999999" hidden="1" customHeight="1" x14ac:dyDescent="0.25">
      <c r="A359" s="50" t="s">
        <v>18</v>
      </c>
      <c r="B359" s="50" t="s">
        <v>18</v>
      </c>
      <c r="C359" s="50" t="s">
        <v>21</v>
      </c>
      <c r="D359" s="50" t="s">
        <v>18</v>
      </c>
      <c r="E359" s="50" t="s">
        <v>21</v>
      </c>
      <c r="F359" s="50" t="s">
        <v>18</v>
      </c>
      <c r="G359" s="50" t="s">
        <v>22</v>
      </c>
      <c r="H359" s="50" t="s">
        <v>19</v>
      </c>
      <c r="I359" s="50" t="s">
        <v>24</v>
      </c>
      <c r="J359" s="50" t="s">
        <v>18</v>
      </c>
      <c r="K359" s="50" t="s">
        <v>18</v>
      </c>
      <c r="L359" s="50" t="s">
        <v>20</v>
      </c>
      <c r="M359" s="50" t="s">
        <v>19</v>
      </c>
      <c r="N359" s="50" t="s">
        <v>18</v>
      </c>
      <c r="O359" s="50" t="s">
        <v>24</v>
      </c>
      <c r="P359" s="50" t="s">
        <v>22</v>
      </c>
      <c r="Q359" s="50" t="s">
        <v>45</v>
      </c>
      <c r="R359" s="163"/>
      <c r="S359" s="58" t="s">
        <v>0</v>
      </c>
      <c r="T359" s="1">
        <v>97.9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5">
        <f t="shared" si="96"/>
        <v>97.9</v>
      </c>
      <c r="AB359" s="54">
        <v>2018</v>
      </c>
      <c r="AC359" s="9"/>
      <c r="AD359" s="91"/>
      <c r="AE359" s="91"/>
    </row>
    <row r="360" spans="1:31" ht="16.149999999999999" hidden="1" customHeight="1" x14ac:dyDescent="0.25">
      <c r="A360" s="50" t="s">
        <v>18</v>
      </c>
      <c r="B360" s="50" t="s">
        <v>18</v>
      </c>
      <c r="C360" s="50" t="s">
        <v>21</v>
      </c>
      <c r="D360" s="50" t="s">
        <v>18</v>
      </c>
      <c r="E360" s="50" t="s">
        <v>21</v>
      </c>
      <c r="F360" s="50" t="s">
        <v>18</v>
      </c>
      <c r="G360" s="50" t="s">
        <v>22</v>
      </c>
      <c r="H360" s="50" t="s">
        <v>19</v>
      </c>
      <c r="I360" s="50" t="s">
        <v>24</v>
      </c>
      <c r="J360" s="50" t="s">
        <v>18</v>
      </c>
      <c r="K360" s="50" t="s">
        <v>18</v>
      </c>
      <c r="L360" s="50" t="s">
        <v>20</v>
      </c>
      <c r="M360" s="50" t="s">
        <v>19</v>
      </c>
      <c r="N360" s="50" t="s">
        <v>18</v>
      </c>
      <c r="O360" s="50" t="s">
        <v>43</v>
      </c>
      <c r="P360" s="50" t="s">
        <v>22</v>
      </c>
      <c r="Q360" s="50" t="s">
        <v>170</v>
      </c>
      <c r="R360" s="163"/>
      <c r="S360" s="58" t="s">
        <v>0</v>
      </c>
      <c r="T360" s="1">
        <v>15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5">
        <f t="shared" si="96"/>
        <v>15</v>
      </c>
      <c r="AB360" s="54">
        <v>2018</v>
      </c>
      <c r="AC360" s="9"/>
      <c r="AD360" s="91"/>
      <c r="AE360" s="91"/>
    </row>
    <row r="361" spans="1:31" ht="16.149999999999999" hidden="1" customHeight="1" x14ac:dyDescent="0.25">
      <c r="A361" s="50" t="s">
        <v>18</v>
      </c>
      <c r="B361" s="50" t="s">
        <v>18</v>
      </c>
      <c r="C361" s="50" t="s">
        <v>21</v>
      </c>
      <c r="D361" s="50" t="s">
        <v>18</v>
      </c>
      <c r="E361" s="50" t="s">
        <v>21</v>
      </c>
      <c r="F361" s="50" t="s">
        <v>18</v>
      </c>
      <c r="G361" s="50" t="s">
        <v>22</v>
      </c>
      <c r="H361" s="50" t="s">
        <v>19</v>
      </c>
      <c r="I361" s="50" t="s">
        <v>24</v>
      </c>
      <c r="J361" s="50" t="s">
        <v>18</v>
      </c>
      <c r="K361" s="50" t="s">
        <v>18</v>
      </c>
      <c r="L361" s="50" t="s">
        <v>20</v>
      </c>
      <c r="M361" s="50" t="s">
        <v>37</v>
      </c>
      <c r="N361" s="50" t="s">
        <v>18</v>
      </c>
      <c r="O361" s="50" t="s">
        <v>24</v>
      </c>
      <c r="P361" s="50" t="s">
        <v>22</v>
      </c>
      <c r="Q361" s="50" t="s">
        <v>46</v>
      </c>
      <c r="R361" s="163"/>
      <c r="S361" s="58" t="s">
        <v>0</v>
      </c>
      <c r="T361" s="1">
        <v>4.9000000000000004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5">
        <f t="shared" si="96"/>
        <v>4.9000000000000004</v>
      </c>
      <c r="AB361" s="54">
        <v>2018</v>
      </c>
      <c r="AC361" s="9"/>
      <c r="AD361" s="91"/>
      <c r="AE361" s="91"/>
    </row>
    <row r="362" spans="1:31" ht="16.149999999999999" hidden="1" customHeight="1" x14ac:dyDescent="0.25">
      <c r="A362" s="50" t="s">
        <v>18</v>
      </c>
      <c r="B362" s="50" t="s">
        <v>18</v>
      </c>
      <c r="C362" s="50" t="s">
        <v>21</v>
      </c>
      <c r="D362" s="50" t="s">
        <v>18</v>
      </c>
      <c r="E362" s="50" t="s">
        <v>21</v>
      </c>
      <c r="F362" s="50" t="s">
        <v>18</v>
      </c>
      <c r="G362" s="50" t="s">
        <v>22</v>
      </c>
      <c r="H362" s="50" t="s">
        <v>19</v>
      </c>
      <c r="I362" s="50" t="s">
        <v>24</v>
      </c>
      <c r="J362" s="50" t="s">
        <v>18</v>
      </c>
      <c r="K362" s="50" t="s">
        <v>18</v>
      </c>
      <c r="L362" s="50" t="s">
        <v>20</v>
      </c>
      <c r="M362" s="50" t="s">
        <v>37</v>
      </c>
      <c r="N362" s="50" t="s">
        <v>18</v>
      </c>
      <c r="O362" s="50" t="s">
        <v>24</v>
      </c>
      <c r="P362" s="50" t="s">
        <v>22</v>
      </c>
      <c r="Q362" s="50" t="s">
        <v>46</v>
      </c>
      <c r="R362" s="163"/>
      <c r="S362" s="58" t="s">
        <v>0</v>
      </c>
      <c r="T362" s="1">
        <v>36.700000000000003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5">
        <f t="shared" si="96"/>
        <v>36.700000000000003</v>
      </c>
      <c r="AB362" s="54">
        <v>2018</v>
      </c>
      <c r="AC362" s="9"/>
      <c r="AD362" s="91"/>
      <c r="AE362" s="91"/>
    </row>
    <row r="363" spans="1:31" ht="16.149999999999999" hidden="1" customHeight="1" x14ac:dyDescent="0.25">
      <c r="A363" s="50" t="s">
        <v>18</v>
      </c>
      <c r="B363" s="50" t="s">
        <v>18</v>
      </c>
      <c r="C363" s="50" t="s">
        <v>21</v>
      </c>
      <c r="D363" s="50" t="s">
        <v>18</v>
      </c>
      <c r="E363" s="50" t="s">
        <v>21</v>
      </c>
      <c r="F363" s="50" t="s">
        <v>18</v>
      </c>
      <c r="G363" s="50" t="s">
        <v>22</v>
      </c>
      <c r="H363" s="50" t="s">
        <v>19</v>
      </c>
      <c r="I363" s="50" t="s">
        <v>24</v>
      </c>
      <c r="J363" s="50" t="s">
        <v>18</v>
      </c>
      <c r="K363" s="50" t="s">
        <v>18</v>
      </c>
      <c r="L363" s="50" t="s">
        <v>20</v>
      </c>
      <c r="M363" s="50" t="s">
        <v>37</v>
      </c>
      <c r="N363" s="50" t="s">
        <v>18</v>
      </c>
      <c r="O363" s="50" t="s">
        <v>24</v>
      </c>
      <c r="P363" s="50" t="s">
        <v>22</v>
      </c>
      <c r="Q363" s="50" t="s">
        <v>39</v>
      </c>
      <c r="R363" s="163"/>
      <c r="S363" s="58" t="s">
        <v>0</v>
      </c>
      <c r="T363" s="1">
        <v>90.3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5">
        <f t="shared" si="96"/>
        <v>90.3</v>
      </c>
      <c r="AB363" s="54">
        <v>2018</v>
      </c>
      <c r="AC363" s="9"/>
      <c r="AD363" s="91"/>
      <c r="AE363" s="91"/>
    </row>
    <row r="364" spans="1:31" ht="52.15" hidden="1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71" t="s">
        <v>208</v>
      </c>
      <c r="S364" s="75" t="s">
        <v>50</v>
      </c>
      <c r="T364" s="42">
        <v>10</v>
      </c>
      <c r="U364" s="42">
        <v>0</v>
      </c>
      <c r="V364" s="42">
        <v>0</v>
      </c>
      <c r="W364" s="42">
        <v>0</v>
      </c>
      <c r="X364" s="42">
        <v>0</v>
      </c>
      <c r="Y364" s="42">
        <v>0</v>
      </c>
      <c r="Z364" s="42">
        <v>0</v>
      </c>
      <c r="AA364" s="45">
        <f t="shared" si="96"/>
        <v>10</v>
      </c>
      <c r="AB364" s="39">
        <v>2018</v>
      </c>
      <c r="AC364" s="9"/>
      <c r="AD364" s="91"/>
      <c r="AE364" s="91"/>
    </row>
    <row r="365" spans="1:31" ht="16.350000000000001" hidden="1" customHeight="1" x14ac:dyDescent="0.2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163" t="s">
        <v>209</v>
      </c>
      <c r="S365" s="58" t="s">
        <v>0</v>
      </c>
      <c r="T365" s="1">
        <f>SUM(T366:T370)</f>
        <v>686.4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5">
        <f t="shared" ref="AA365:AA432" si="102">SUM(T365:Y365)</f>
        <v>686.4</v>
      </c>
      <c r="AB365" s="54">
        <v>2018</v>
      </c>
      <c r="AC365" s="9"/>
      <c r="AD365" s="91"/>
      <c r="AE365" s="91"/>
    </row>
    <row r="366" spans="1:31" ht="16.350000000000001" hidden="1" customHeight="1" x14ac:dyDescent="0.25">
      <c r="A366" s="50" t="s">
        <v>18</v>
      </c>
      <c r="B366" s="50" t="s">
        <v>18</v>
      </c>
      <c r="C366" s="50" t="s">
        <v>21</v>
      </c>
      <c r="D366" s="50" t="s">
        <v>18</v>
      </c>
      <c r="E366" s="50" t="s">
        <v>24</v>
      </c>
      <c r="F366" s="50" t="s">
        <v>18</v>
      </c>
      <c r="G366" s="50" t="s">
        <v>43</v>
      </c>
      <c r="H366" s="50" t="s">
        <v>19</v>
      </c>
      <c r="I366" s="50" t="s">
        <v>24</v>
      </c>
      <c r="J366" s="50" t="s">
        <v>18</v>
      </c>
      <c r="K366" s="50" t="s">
        <v>18</v>
      </c>
      <c r="L366" s="50" t="s">
        <v>20</v>
      </c>
      <c r="M366" s="50" t="s">
        <v>19</v>
      </c>
      <c r="N366" s="50" t="s">
        <v>18</v>
      </c>
      <c r="O366" s="50" t="s">
        <v>24</v>
      </c>
      <c r="P366" s="50" t="s">
        <v>22</v>
      </c>
      <c r="Q366" s="50" t="s">
        <v>45</v>
      </c>
      <c r="R366" s="163"/>
      <c r="S366" s="58" t="s">
        <v>0</v>
      </c>
      <c r="T366" s="1">
        <v>272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5">
        <f t="shared" si="102"/>
        <v>272</v>
      </c>
      <c r="AB366" s="54">
        <v>2018</v>
      </c>
      <c r="AC366" s="9"/>
      <c r="AD366" s="91"/>
      <c r="AE366" s="91"/>
    </row>
    <row r="367" spans="1:31" ht="16.350000000000001" hidden="1" customHeight="1" x14ac:dyDescent="0.25">
      <c r="A367" s="50" t="s">
        <v>18</v>
      </c>
      <c r="B367" s="50" t="s">
        <v>18</v>
      </c>
      <c r="C367" s="50" t="s">
        <v>21</v>
      </c>
      <c r="D367" s="50" t="s">
        <v>18</v>
      </c>
      <c r="E367" s="50" t="s">
        <v>24</v>
      </c>
      <c r="F367" s="50" t="s">
        <v>18</v>
      </c>
      <c r="G367" s="50" t="s">
        <v>43</v>
      </c>
      <c r="H367" s="50" t="s">
        <v>19</v>
      </c>
      <c r="I367" s="50" t="s">
        <v>24</v>
      </c>
      <c r="J367" s="50" t="s">
        <v>18</v>
      </c>
      <c r="K367" s="50" t="s">
        <v>18</v>
      </c>
      <c r="L367" s="50" t="s">
        <v>20</v>
      </c>
      <c r="M367" s="50" t="s">
        <v>19</v>
      </c>
      <c r="N367" s="50" t="s">
        <v>18</v>
      </c>
      <c r="O367" s="50" t="s">
        <v>43</v>
      </c>
      <c r="P367" s="50" t="s">
        <v>22</v>
      </c>
      <c r="Q367" s="50" t="s">
        <v>170</v>
      </c>
      <c r="R367" s="163"/>
      <c r="S367" s="58" t="s">
        <v>0</v>
      </c>
      <c r="T367" s="1">
        <v>30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5">
        <f t="shared" si="102"/>
        <v>30</v>
      </c>
      <c r="AB367" s="54">
        <v>2018</v>
      </c>
      <c r="AC367" s="9"/>
      <c r="AD367" s="91"/>
      <c r="AE367" s="91"/>
    </row>
    <row r="368" spans="1:31" ht="16.350000000000001" hidden="1" customHeight="1" x14ac:dyDescent="0.25">
      <c r="A368" s="50" t="s">
        <v>18</v>
      </c>
      <c r="B368" s="50" t="s">
        <v>18</v>
      </c>
      <c r="C368" s="50" t="s">
        <v>21</v>
      </c>
      <c r="D368" s="50" t="s">
        <v>18</v>
      </c>
      <c r="E368" s="50" t="s">
        <v>24</v>
      </c>
      <c r="F368" s="50" t="s">
        <v>18</v>
      </c>
      <c r="G368" s="50" t="s">
        <v>43</v>
      </c>
      <c r="H368" s="50" t="s">
        <v>19</v>
      </c>
      <c r="I368" s="50" t="s">
        <v>24</v>
      </c>
      <c r="J368" s="50" t="s">
        <v>18</v>
      </c>
      <c r="K368" s="50" t="s">
        <v>18</v>
      </c>
      <c r="L368" s="50" t="s">
        <v>20</v>
      </c>
      <c r="M368" s="50" t="s">
        <v>37</v>
      </c>
      <c r="N368" s="50" t="s">
        <v>18</v>
      </c>
      <c r="O368" s="50" t="s">
        <v>24</v>
      </c>
      <c r="P368" s="50" t="s">
        <v>22</v>
      </c>
      <c r="Q368" s="50" t="s">
        <v>46</v>
      </c>
      <c r="R368" s="163"/>
      <c r="S368" s="58" t="s">
        <v>0</v>
      </c>
      <c r="T368" s="1">
        <v>47.3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5">
        <f t="shared" si="102"/>
        <v>47.3</v>
      </c>
      <c r="AB368" s="54">
        <v>2018</v>
      </c>
      <c r="AC368" s="9"/>
      <c r="AD368" s="91"/>
      <c r="AE368" s="91"/>
    </row>
    <row r="369" spans="1:31" ht="16.350000000000001" hidden="1" customHeight="1" x14ac:dyDescent="0.25">
      <c r="A369" s="50" t="s">
        <v>18</v>
      </c>
      <c r="B369" s="50" t="s">
        <v>18</v>
      </c>
      <c r="C369" s="50" t="s">
        <v>21</v>
      </c>
      <c r="D369" s="50" t="s">
        <v>18</v>
      </c>
      <c r="E369" s="50" t="s">
        <v>24</v>
      </c>
      <c r="F369" s="50" t="s">
        <v>18</v>
      </c>
      <c r="G369" s="50" t="s">
        <v>43</v>
      </c>
      <c r="H369" s="50" t="s">
        <v>19</v>
      </c>
      <c r="I369" s="50" t="s">
        <v>24</v>
      </c>
      <c r="J369" s="50" t="s">
        <v>18</v>
      </c>
      <c r="K369" s="50" t="s">
        <v>18</v>
      </c>
      <c r="L369" s="50" t="s">
        <v>20</v>
      </c>
      <c r="M369" s="50" t="s">
        <v>37</v>
      </c>
      <c r="N369" s="50" t="s">
        <v>18</v>
      </c>
      <c r="O369" s="50" t="s">
        <v>24</v>
      </c>
      <c r="P369" s="50" t="s">
        <v>22</v>
      </c>
      <c r="Q369" s="50" t="s">
        <v>46</v>
      </c>
      <c r="R369" s="163"/>
      <c r="S369" s="58" t="s">
        <v>0</v>
      </c>
      <c r="T369" s="1">
        <v>68.599999999999994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5">
        <f t="shared" si="102"/>
        <v>68.599999999999994</v>
      </c>
      <c r="AB369" s="54">
        <v>2018</v>
      </c>
      <c r="AC369" s="9"/>
      <c r="AD369" s="91"/>
      <c r="AE369" s="91"/>
    </row>
    <row r="370" spans="1:31" ht="16.350000000000001" hidden="1" customHeight="1" x14ac:dyDescent="0.25">
      <c r="A370" s="50" t="s">
        <v>18</v>
      </c>
      <c r="B370" s="50" t="s">
        <v>18</v>
      </c>
      <c r="C370" s="50" t="s">
        <v>21</v>
      </c>
      <c r="D370" s="50" t="s">
        <v>18</v>
      </c>
      <c r="E370" s="50" t="s">
        <v>24</v>
      </c>
      <c r="F370" s="50" t="s">
        <v>18</v>
      </c>
      <c r="G370" s="50" t="s">
        <v>43</v>
      </c>
      <c r="H370" s="50" t="s">
        <v>19</v>
      </c>
      <c r="I370" s="50" t="s">
        <v>24</v>
      </c>
      <c r="J370" s="50" t="s">
        <v>18</v>
      </c>
      <c r="K370" s="50" t="s">
        <v>18</v>
      </c>
      <c r="L370" s="50" t="s">
        <v>20</v>
      </c>
      <c r="M370" s="50" t="s">
        <v>37</v>
      </c>
      <c r="N370" s="50" t="s">
        <v>18</v>
      </c>
      <c r="O370" s="50" t="s">
        <v>24</v>
      </c>
      <c r="P370" s="50" t="s">
        <v>22</v>
      </c>
      <c r="Q370" s="50" t="s">
        <v>39</v>
      </c>
      <c r="R370" s="163"/>
      <c r="S370" s="58" t="s">
        <v>0</v>
      </c>
      <c r="T370" s="1">
        <v>268.5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5">
        <f t="shared" si="102"/>
        <v>268.5</v>
      </c>
      <c r="AB370" s="54">
        <v>2018</v>
      </c>
      <c r="AC370" s="9"/>
      <c r="AD370" s="91"/>
      <c r="AE370" s="91"/>
    </row>
    <row r="371" spans="1:31" ht="53.45" hidden="1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69" t="s">
        <v>210</v>
      </c>
      <c r="S371" s="75" t="s">
        <v>167</v>
      </c>
      <c r="T371" s="3">
        <v>285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6">
        <f t="shared" si="102"/>
        <v>285</v>
      </c>
      <c r="AB371" s="39">
        <v>2018</v>
      </c>
      <c r="AC371" s="9"/>
      <c r="AD371" s="91"/>
      <c r="AE371" s="91"/>
    </row>
    <row r="372" spans="1:31" ht="16.350000000000001" hidden="1" customHeight="1" x14ac:dyDescent="0.2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163" t="s">
        <v>211</v>
      </c>
      <c r="S372" s="58" t="s">
        <v>0</v>
      </c>
      <c r="T372" s="1">
        <f>SUM(T373:T377)</f>
        <v>657.90000000000009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5">
        <f t="shared" si="102"/>
        <v>657.90000000000009</v>
      </c>
      <c r="AB372" s="54">
        <v>2018</v>
      </c>
      <c r="AC372" s="9"/>
      <c r="AD372" s="91"/>
      <c r="AE372" s="91"/>
    </row>
    <row r="373" spans="1:31" ht="16.350000000000001" hidden="1" customHeight="1" x14ac:dyDescent="0.25">
      <c r="A373" s="50" t="s">
        <v>18</v>
      </c>
      <c r="B373" s="50" t="s">
        <v>18</v>
      </c>
      <c r="C373" s="50" t="s">
        <v>21</v>
      </c>
      <c r="D373" s="50" t="s">
        <v>18</v>
      </c>
      <c r="E373" s="50" t="s">
        <v>21</v>
      </c>
      <c r="F373" s="50" t="s">
        <v>18</v>
      </c>
      <c r="G373" s="50" t="s">
        <v>22</v>
      </c>
      <c r="H373" s="50" t="s">
        <v>19</v>
      </c>
      <c r="I373" s="50" t="s">
        <v>24</v>
      </c>
      <c r="J373" s="50" t="s">
        <v>18</v>
      </c>
      <c r="K373" s="50" t="s">
        <v>18</v>
      </c>
      <c r="L373" s="50" t="s">
        <v>20</v>
      </c>
      <c r="M373" s="50" t="s">
        <v>19</v>
      </c>
      <c r="N373" s="50" t="s">
        <v>18</v>
      </c>
      <c r="O373" s="50" t="s">
        <v>24</v>
      </c>
      <c r="P373" s="50" t="s">
        <v>22</v>
      </c>
      <c r="Q373" s="50" t="s">
        <v>45</v>
      </c>
      <c r="R373" s="163"/>
      <c r="S373" s="58" t="s">
        <v>0</v>
      </c>
      <c r="T373" s="1">
        <v>263.10000000000002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5">
        <f t="shared" si="102"/>
        <v>263.10000000000002</v>
      </c>
      <c r="AB373" s="54">
        <v>2018</v>
      </c>
      <c r="AC373" s="9"/>
      <c r="AD373" s="91"/>
      <c r="AE373" s="91"/>
    </row>
    <row r="374" spans="1:31" ht="16.350000000000001" hidden="1" customHeight="1" x14ac:dyDescent="0.25">
      <c r="A374" s="50" t="s">
        <v>18</v>
      </c>
      <c r="B374" s="50" t="s">
        <v>18</v>
      </c>
      <c r="C374" s="50" t="s">
        <v>21</v>
      </c>
      <c r="D374" s="50" t="s">
        <v>18</v>
      </c>
      <c r="E374" s="50" t="s">
        <v>21</v>
      </c>
      <c r="F374" s="50" t="s">
        <v>18</v>
      </c>
      <c r="G374" s="50" t="s">
        <v>22</v>
      </c>
      <c r="H374" s="50" t="s">
        <v>19</v>
      </c>
      <c r="I374" s="50" t="s">
        <v>24</v>
      </c>
      <c r="J374" s="50" t="s">
        <v>18</v>
      </c>
      <c r="K374" s="50" t="s">
        <v>18</v>
      </c>
      <c r="L374" s="50" t="s">
        <v>20</v>
      </c>
      <c r="M374" s="50" t="s">
        <v>19</v>
      </c>
      <c r="N374" s="50" t="s">
        <v>18</v>
      </c>
      <c r="O374" s="50" t="s">
        <v>43</v>
      </c>
      <c r="P374" s="50" t="s">
        <v>22</v>
      </c>
      <c r="Q374" s="50" t="s">
        <v>170</v>
      </c>
      <c r="R374" s="163"/>
      <c r="S374" s="58" t="s">
        <v>0</v>
      </c>
      <c r="T374" s="1">
        <v>40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5">
        <f>SUM(T374:Y374)</f>
        <v>40</v>
      </c>
      <c r="AB374" s="54">
        <v>2018</v>
      </c>
      <c r="AC374" s="9"/>
      <c r="AD374" s="91"/>
      <c r="AE374" s="91"/>
    </row>
    <row r="375" spans="1:31" ht="16.350000000000001" hidden="1" customHeight="1" x14ac:dyDescent="0.25">
      <c r="A375" s="50" t="s">
        <v>18</v>
      </c>
      <c r="B375" s="50" t="s">
        <v>18</v>
      </c>
      <c r="C375" s="50" t="s">
        <v>21</v>
      </c>
      <c r="D375" s="50" t="s">
        <v>18</v>
      </c>
      <c r="E375" s="50" t="s">
        <v>21</v>
      </c>
      <c r="F375" s="50" t="s">
        <v>18</v>
      </c>
      <c r="G375" s="50" t="s">
        <v>22</v>
      </c>
      <c r="H375" s="50" t="s">
        <v>19</v>
      </c>
      <c r="I375" s="50" t="s">
        <v>24</v>
      </c>
      <c r="J375" s="50" t="s">
        <v>18</v>
      </c>
      <c r="K375" s="50" t="s">
        <v>18</v>
      </c>
      <c r="L375" s="50" t="s">
        <v>20</v>
      </c>
      <c r="M375" s="50" t="s">
        <v>37</v>
      </c>
      <c r="N375" s="50" t="s">
        <v>18</v>
      </c>
      <c r="O375" s="50" t="s">
        <v>24</v>
      </c>
      <c r="P375" s="50" t="s">
        <v>22</v>
      </c>
      <c r="Q375" s="50" t="s">
        <v>46</v>
      </c>
      <c r="R375" s="163"/>
      <c r="S375" s="58" t="s">
        <v>0</v>
      </c>
      <c r="T375" s="1">
        <v>5.7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5">
        <f t="shared" si="102"/>
        <v>5.7</v>
      </c>
      <c r="AB375" s="54">
        <v>2018</v>
      </c>
      <c r="AC375" s="9"/>
      <c r="AD375" s="91"/>
      <c r="AE375" s="91"/>
    </row>
    <row r="376" spans="1:31" ht="16.350000000000001" hidden="1" customHeight="1" x14ac:dyDescent="0.25">
      <c r="A376" s="50" t="s">
        <v>18</v>
      </c>
      <c r="B376" s="50" t="s">
        <v>18</v>
      </c>
      <c r="C376" s="50" t="s">
        <v>21</v>
      </c>
      <c r="D376" s="50" t="s">
        <v>18</v>
      </c>
      <c r="E376" s="50" t="s">
        <v>21</v>
      </c>
      <c r="F376" s="50" t="s">
        <v>18</v>
      </c>
      <c r="G376" s="50" t="s">
        <v>22</v>
      </c>
      <c r="H376" s="50" t="s">
        <v>19</v>
      </c>
      <c r="I376" s="50" t="s">
        <v>24</v>
      </c>
      <c r="J376" s="50" t="s">
        <v>18</v>
      </c>
      <c r="K376" s="50" t="s">
        <v>18</v>
      </c>
      <c r="L376" s="50" t="s">
        <v>20</v>
      </c>
      <c r="M376" s="50" t="s">
        <v>37</v>
      </c>
      <c r="N376" s="50" t="s">
        <v>18</v>
      </c>
      <c r="O376" s="50" t="s">
        <v>24</v>
      </c>
      <c r="P376" s="50" t="s">
        <v>22</v>
      </c>
      <c r="Q376" s="50" t="s">
        <v>46</v>
      </c>
      <c r="R376" s="163"/>
      <c r="S376" s="58" t="s">
        <v>0</v>
      </c>
      <c r="T376" s="1">
        <v>98.8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5">
        <f t="shared" si="102"/>
        <v>98.8</v>
      </c>
      <c r="AB376" s="54">
        <v>2018</v>
      </c>
      <c r="AC376" s="9"/>
      <c r="AD376" s="91"/>
      <c r="AE376" s="91"/>
    </row>
    <row r="377" spans="1:31" ht="16.350000000000001" hidden="1" customHeight="1" x14ac:dyDescent="0.25">
      <c r="A377" s="50" t="s">
        <v>18</v>
      </c>
      <c r="B377" s="50" t="s">
        <v>18</v>
      </c>
      <c r="C377" s="50" t="s">
        <v>21</v>
      </c>
      <c r="D377" s="50" t="s">
        <v>18</v>
      </c>
      <c r="E377" s="50" t="s">
        <v>21</v>
      </c>
      <c r="F377" s="50" t="s">
        <v>18</v>
      </c>
      <c r="G377" s="50" t="s">
        <v>22</v>
      </c>
      <c r="H377" s="50" t="s">
        <v>19</v>
      </c>
      <c r="I377" s="50" t="s">
        <v>24</v>
      </c>
      <c r="J377" s="50" t="s">
        <v>18</v>
      </c>
      <c r="K377" s="50" t="s">
        <v>18</v>
      </c>
      <c r="L377" s="50" t="s">
        <v>20</v>
      </c>
      <c r="M377" s="50" t="s">
        <v>37</v>
      </c>
      <c r="N377" s="50" t="s">
        <v>18</v>
      </c>
      <c r="O377" s="50" t="s">
        <v>24</v>
      </c>
      <c r="P377" s="50" t="s">
        <v>22</v>
      </c>
      <c r="Q377" s="50" t="s">
        <v>39</v>
      </c>
      <c r="R377" s="163"/>
      <c r="S377" s="58" t="s">
        <v>0</v>
      </c>
      <c r="T377" s="1">
        <v>250.3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5">
        <f t="shared" si="102"/>
        <v>250.3</v>
      </c>
      <c r="AB377" s="54">
        <v>2018</v>
      </c>
      <c r="AC377" s="9"/>
      <c r="AD377" s="91"/>
      <c r="AE377" s="91"/>
    </row>
    <row r="378" spans="1:31" ht="37.15" hidden="1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71" t="s">
        <v>212</v>
      </c>
      <c r="S378" s="75" t="s">
        <v>167</v>
      </c>
      <c r="T378" s="3">
        <v>443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6">
        <f t="shared" si="102"/>
        <v>443</v>
      </c>
      <c r="AB378" s="39">
        <v>2018</v>
      </c>
      <c r="AC378" s="9"/>
      <c r="AD378" s="91"/>
      <c r="AE378" s="91"/>
    </row>
    <row r="379" spans="1:31" ht="18.600000000000001" hidden="1" customHeight="1" x14ac:dyDescent="0.2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163" t="s">
        <v>213</v>
      </c>
      <c r="S379" s="58" t="s">
        <v>0</v>
      </c>
      <c r="T379" s="1">
        <f>SUM(T380:T384)</f>
        <v>1100.4000000000001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5">
        <f t="shared" si="102"/>
        <v>1100.4000000000001</v>
      </c>
      <c r="AB379" s="54">
        <v>2018</v>
      </c>
      <c r="AC379" s="9"/>
      <c r="AD379" s="91"/>
      <c r="AE379" s="91"/>
    </row>
    <row r="380" spans="1:31" ht="16.350000000000001" hidden="1" customHeight="1" x14ac:dyDescent="0.25">
      <c r="A380" s="50" t="s">
        <v>18</v>
      </c>
      <c r="B380" s="50" t="s">
        <v>18</v>
      </c>
      <c r="C380" s="50" t="s">
        <v>21</v>
      </c>
      <c r="D380" s="50" t="s">
        <v>18</v>
      </c>
      <c r="E380" s="50" t="s">
        <v>21</v>
      </c>
      <c r="F380" s="50" t="s">
        <v>18</v>
      </c>
      <c r="G380" s="50" t="s">
        <v>22</v>
      </c>
      <c r="H380" s="50" t="s">
        <v>19</v>
      </c>
      <c r="I380" s="50" t="s">
        <v>24</v>
      </c>
      <c r="J380" s="50" t="s">
        <v>18</v>
      </c>
      <c r="K380" s="50" t="s">
        <v>18</v>
      </c>
      <c r="L380" s="50" t="s">
        <v>20</v>
      </c>
      <c r="M380" s="50" t="s">
        <v>19</v>
      </c>
      <c r="N380" s="50" t="s">
        <v>18</v>
      </c>
      <c r="O380" s="50" t="s">
        <v>24</v>
      </c>
      <c r="P380" s="50" t="s">
        <v>22</v>
      </c>
      <c r="Q380" s="50" t="s">
        <v>45</v>
      </c>
      <c r="R380" s="163"/>
      <c r="S380" s="58" t="s">
        <v>0</v>
      </c>
      <c r="T380" s="1">
        <v>400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5">
        <f t="shared" si="102"/>
        <v>400</v>
      </c>
      <c r="AB380" s="54">
        <v>2018</v>
      </c>
      <c r="AC380" s="9"/>
      <c r="AD380" s="91"/>
      <c r="AE380" s="91"/>
    </row>
    <row r="381" spans="1:31" ht="16.350000000000001" hidden="1" customHeight="1" x14ac:dyDescent="0.25">
      <c r="A381" s="50" t="s">
        <v>18</v>
      </c>
      <c r="B381" s="50" t="s">
        <v>18</v>
      </c>
      <c r="C381" s="50" t="s">
        <v>21</v>
      </c>
      <c r="D381" s="50" t="s">
        <v>18</v>
      </c>
      <c r="E381" s="50" t="s">
        <v>21</v>
      </c>
      <c r="F381" s="50" t="s">
        <v>18</v>
      </c>
      <c r="G381" s="50" t="s">
        <v>22</v>
      </c>
      <c r="H381" s="50" t="s">
        <v>19</v>
      </c>
      <c r="I381" s="50" t="s">
        <v>24</v>
      </c>
      <c r="J381" s="50" t="s">
        <v>18</v>
      </c>
      <c r="K381" s="50" t="s">
        <v>18</v>
      </c>
      <c r="L381" s="50" t="s">
        <v>20</v>
      </c>
      <c r="M381" s="50" t="s">
        <v>19</v>
      </c>
      <c r="N381" s="50" t="s">
        <v>18</v>
      </c>
      <c r="O381" s="50" t="s">
        <v>43</v>
      </c>
      <c r="P381" s="50" t="s">
        <v>22</v>
      </c>
      <c r="Q381" s="50" t="s">
        <v>170</v>
      </c>
      <c r="R381" s="163"/>
      <c r="S381" s="58" t="s">
        <v>0</v>
      </c>
      <c r="T381" s="1">
        <v>40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5">
        <f t="shared" si="102"/>
        <v>40</v>
      </c>
      <c r="AB381" s="54">
        <v>2018</v>
      </c>
      <c r="AC381" s="9"/>
      <c r="AD381" s="91"/>
      <c r="AE381" s="91"/>
    </row>
    <row r="382" spans="1:31" ht="16.350000000000001" hidden="1" customHeight="1" x14ac:dyDescent="0.25">
      <c r="A382" s="50" t="s">
        <v>18</v>
      </c>
      <c r="B382" s="50" t="s">
        <v>18</v>
      </c>
      <c r="C382" s="50" t="s">
        <v>21</v>
      </c>
      <c r="D382" s="50" t="s">
        <v>18</v>
      </c>
      <c r="E382" s="50" t="s">
        <v>21</v>
      </c>
      <c r="F382" s="50" t="s">
        <v>18</v>
      </c>
      <c r="G382" s="50" t="s">
        <v>22</v>
      </c>
      <c r="H382" s="50" t="s">
        <v>19</v>
      </c>
      <c r="I382" s="50" t="s">
        <v>24</v>
      </c>
      <c r="J382" s="50" t="s">
        <v>18</v>
      </c>
      <c r="K382" s="50" t="s">
        <v>18</v>
      </c>
      <c r="L382" s="50" t="s">
        <v>20</v>
      </c>
      <c r="M382" s="50" t="s">
        <v>37</v>
      </c>
      <c r="N382" s="50" t="s">
        <v>18</v>
      </c>
      <c r="O382" s="50" t="s">
        <v>24</v>
      </c>
      <c r="P382" s="50" t="s">
        <v>22</v>
      </c>
      <c r="Q382" s="50" t="s">
        <v>46</v>
      </c>
      <c r="R382" s="163"/>
      <c r="S382" s="58" t="s">
        <v>0</v>
      </c>
      <c r="T382" s="1">
        <v>30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5">
        <f t="shared" si="102"/>
        <v>30</v>
      </c>
      <c r="AB382" s="54">
        <v>2018</v>
      </c>
      <c r="AC382" s="9"/>
      <c r="AD382" s="91"/>
      <c r="AE382" s="91"/>
    </row>
    <row r="383" spans="1:31" ht="16.350000000000001" hidden="1" customHeight="1" x14ac:dyDescent="0.25">
      <c r="A383" s="50" t="s">
        <v>18</v>
      </c>
      <c r="B383" s="50" t="s">
        <v>18</v>
      </c>
      <c r="C383" s="50" t="s">
        <v>21</v>
      </c>
      <c r="D383" s="50" t="s">
        <v>18</v>
      </c>
      <c r="E383" s="50" t="s">
        <v>21</v>
      </c>
      <c r="F383" s="50" t="s">
        <v>18</v>
      </c>
      <c r="G383" s="50" t="s">
        <v>22</v>
      </c>
      <c r="H383" s="50" t="s">
        <v>19</v>
      </c>
      <c r="I383" s="50" t="s">
        <v>24</v>
      </c>
      <c r="J383" s="50" t="s">
        <v>18</v>
      </c>
      <c r="K383" s="50" t="s">
        <v>18</v>
      </c>
      <c r="L383" s="50" t="s">
        <v>20</v>
      </c>
      <c r="M383" s="50" t="s">
        <v>37</v>
      </c>
      <c r="N383" s="50" t="s">
        <v>18</v>
      </c>
      <c r="O383" s="50" t="s">
        <v>24</v>
      </c>
      <c r="P383" s="50" t="s">
        <v>22</v>
      </c>
      <c r="Q383" s="50" t="s">
        <v>46</v>
      </c>
      <c r="R383" s="163"/>
      <c r="S383" s="58" t="s">
        <v>0</v>
      </c>
      <c r="T383" s="1">
        <v>166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5">
        <f t="shared" si="102"/>
        <v>166</v>
      </c>
      <c r="AB383" s="54">
        <v>2018</v>
      </c>
      <c r="AC383" s="9"/>
      <c r="AD383" s="91"/>
      <c r="AE383" s="91"/>
    </row>
    <row r="384" spans="1:31" ht="16.350000000000001" hidden="1" customHeight="1" x14ac:dyDescent="0.25">
      <c r="A384" s="50" t="s">
        <v>18</v>
      </c>
      <c r="B384" s="50" t="s">
        <v>18</v>
      </c>
      <c r="C384" s="50" t="s">
        <v>21</v>
      </c>
      <c r="D384" s="50" t="s">
        <v>18</v>
      </c>
      <c r="E384" s="50" t="s">
        <v>21</v>
      </c>
      <c r="F384" s="50" t="s">
        <v>18</v>
      </c>
      <c r="G384" s="50" t="s">
        <v>22</v>
      </c>
      <c r="H384" s="50" t="s">
        <v>19</v>
      </c>
      <c r="I384" s="50" t="s">
        <v>24</v>
      </c>
      <c r="J384" s="50" t="s">
        <v>18</v>
      </c>
      <c r="K384" s="50" t="s">
        <v>18</v>
      </c>
      <c r="L384" s="50" t="s">
        <v>20</v>
      </c>
      <c r="M384" s="50" t="s">
        <v>37</v>
      </c>
      <c r="N384" s="50" t="s">
        <v>18</v>
      </c>
      <c r="O384" s="50" t="s">
        <v>24</v>
      </c>
      <c r="P384" s="50" t="s">
        <v>22</v>
      </c>
      <c r="Q384" s="50" t="s">
        <v>39</v>
      </c>
      <c r="R384" s="163"/>
      <c r="S384" s="58" t="s">
        <v>0</v>
      </c>
      <c r="T384" s="1">
        <v>464.4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5">
        <f t="shared" si="102"/>
        <v>464.4</v>
      </c>
      <c r="AB384" s="54">
        <v>2018</v>
      </c>
      <c r="AC384" s="9"/>
      <c r="AD384" s="91"/>
      <c r="AE384" s="91"/>
    </row>
    <row r="385" spans="1:31" ht="37.15" hidden="1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71" t="s">
        <v>214</v>
      </c>
      <c r="S385" s="75" t="s">
        <v>167</v>
      </c>
      <c r="T385" s="3">
        <v>930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6">
        <f t="shared" si="102"/>
        <v>930</v>
      </c>
      <c r="AB385" s="39">
        <v>2018</v>
      </c>
      <c r="AC385" s="9"/>
      <c r="AD385" s="91"/>
      <c r="AE385" s="91"/>
    </row>
    <row r="386" spans="1:31" ht="22.15" hidden="1" customHeight="1" x14ac:dyDescent="0.2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163" t="s">
        <v>215</v>
      </c>
      <c r="S386" s="58" t="s">
        <v>0</v>
      </c>
      <c r="T386" s="1">
        <f>SUM(T387:T391)</f>
        <v>1421.6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5">
        <f t="shared" si="102"/>
        <v>1421.6</v>
      </c>
      <c r="AB386" s="54">
        <v>2018</v>
      </c>
      <c r="AC386" s="9"/>
      <c r="AD386" s="91"/>
      <c r="AE386" s="91"/>
    </row>
    <row r="387" spans="1:31" ht="16.350000000000001" hidden="1" customHeight="1" x14ac:dyDescent="0.25">
      <c r="A387" s="50" t="s">
        <v>18</v>
      </c>
      <c r="B387" s="50" t="s">
        <v>18</v>
      </c>
      <c r="C387" s="50" t="s">
        <v>21</v>
      </c>
      <c r="D387" s="50" t="s">
        <v>18</v>
      </c>
      <c r="E387" s="50" t="s">
        <v>21</v>
      </c>
      <c r="F387" s="50" t="s">
        <v>18</v>
      </c>
      <c r="G387" s="50" t="s">
        <v>22</v>
      </c>
      <c r="H387" s="50" t="s">
        <v>19</v>
      </c>
      <c r="I387" s="50" t="s">
        <v>24</v>
      </c>
      <c r="J387" s="50" t="s">
        <v>18</v>
      </c>
      <c r="K387" s="50" t="s">
        <v>18</v>
      </c>
      <c r="L387" s="50" t="s">
        <v>20</v>
      </c>
      <c r="M387" s="50" t="s">
        <v>19</v>
      </c>
      <c r="N387" s="50" t="s">
        <v>18</v>
      </c>
      <c r="O387" s="50" t="s">
        <v>24</v>
      </c>
      <c r="P387" s="50" t="s">
        <v>22</v>
      </c>
      <c r="Q387" s="50" t="s">
        <v>45</v>
      </c>
      <c r="R387" s="163"/>
      <c r="S387" s="58" t="s">
        <v>0</v>
      </c>
      <c r="T387" s="1">
        <v>400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5">
        <f t="shared" si="102"/>
        <v>400</v>
      </c>
      <c r="AB387" s="54">
        <v>2018</v>
      </c>
      <c r="AC387" s="9"/>
      <c r="AD387" s="91"/>
      <c r="AE387" s="91"/>
    </row>
    <row r="388" spans="1:31" ht="16.350000000000001" hidden="1" customHeight="1" x14ac:dyDescent="0.25">
      <c r="A388" s="50" t="s">
        <v>18</v>
      </c>
      <c r="B388" s="50" t="s">
        <v>18</v>
      </c>
      <c r="C388" s="50" t="s">
        <v>21</v>
      </c>
      <c r="D388" s="50" t="s">
        <v>18</v>
      </c>
      <c r="E388" s="50" t="s">
        <v>21</v>
      </c>
      <c r="F388" s="50" t="s">
        <v>18</v>
      </c>
      <c r="G388" s="50" t="s">
        <v>22</v>
      </c>
      <c r="H388" s="50" t="s">
        <v>19</v>
      </c>
      <c r="I388" s="50" t="s">
        <v>24</v>
      </c>
      <c r="J388" s="50" t="s">
        <v>18</v>
      </c>
      <c r="K388" s="50" t="s">
        <v>18</v>
      </c>
      <c r="L388" s="50" t="s">
        <v>20</v>
      </c>
      <c r="M388" s="50" t="s">
        <v>19</v>
      </c>
      <c r="N388" s="50" t="s">
        <v>18</v>
      </c>
      <c r="O388" s="50" t="s">
        <v>43</v>
      </c>
      <c r="P388" s="50" t="s">
        <v>22</v>
      </c>
      <c r="Q388" s="50" t="s">
        <v>170</v>
      </c>
      <c r="R388" s="163"/>
      <c r="S388" s="58" t="s">
        <v>0</v>
      </c>
      <c r="T388" s="1">
        <v>50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5">
        <f>SUM(T388:Y388)</f>
        <v>50</v>
      </c>
      <c r="AB388" s="54">
        <v>2018</v>
      </c>
      <c r="AC388" s="9"/>
      <c r="AD388" s="91"/>
      <c r="AE388" s="91"/>
    </row>
    <row r="389" spans="1:31" ht="16.350000000000001" hidden="1" customHeight="1" x14ac:dyDescent="0.25">
      <c r="A389" s="50" t="s">
        <v>18</v>
      </c>
      <c r="B389" s="50" t="s">
        <v>18</v>
      </c>
      <c r="C389" s="50" t="s">
        <v>21</v>
      </c>
      <c r="D389" s="50" t="s">
        <v>18</v>
      </c>
      <c r="E389" s="50" t="s">
        <v>21</v>
      </c>
      <c r="F389" s="50" t="s">
        <v>18</v>
      </c>
      <c r="G389" s="50" t="s">
        <v>22</v>
      </c>
      <c r="H389" s="50" t="s">
        <v>19</v>
      </c>
      <c r="I389" s="50" t="s">
        <v>24</v>
      </c>
      <c r="J389" s="50" t="s">
        <v>18</v>
      </c>
      <c r="K389" s="50" t="s">
        <v>18</v>
      </c>
      <c r="L389" s="50" t="s">
        <v>20</v>
      </c>
      <c r="M389" s="50" t="s">
        <v>37</v>
      </c>
      <c r="N389" s="50" t="s">
        <v>18</v>
      </c>
      <c r="O389" s="50" t="s">
        <v>24</v>
      </c>
      <c r="P389" s="50" t="s">
        <v>22</v>
      </c>
      <c r="Q389" s="50" t="s">
        <v>46</v>
      </c>
      <c r="R389" s="163"/>
      <c r="S389" s="58" t="s">
        <v>0</v>
      </c>
      <c r="T389" s="1">
        <v>83.1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5">
        <f t="shared" si="102"/>
        <v>83.1</v>
      </c>
      <c r="AB389" s="54">
        <v>2018</v>
      </c>
      <c r="AC389" s="9"/>
      <c r="AD389" s="91"/>
      <c r="AE389" s="91"/>
    </row>
    <row r="390" spans="1:31" ht="16.350000000000001" hidden="1" customHeight="1" x14ac:dyDescent="0.25">
      <c r="A390" s="50" t="s">
        <v>18</v>
      </c>
      <c r="B390" s="50" t="s">
        <v>18</v>
      </c>
      <c r="C390" s="50" t="s">
        <v>21</v>
      </c>
      <c r="D390" s="50" t="s">
        <v>18</v>
      </c>
      <c r="E390" s="50" t="s">
        <v>21</v>
      </c>
      <c r="F390" s="50" t="s">
        <v>18</v>
      </c>
      <c r="G390" s="50" t="s">
        <v>22</v>
      </c>
      <c r="H390" s="50" t="s">
        <v>19</v>
      </c>
      <c r="I390" s="50" t="s">
        <v>24</v>
      </c>
      <c r="J390" s="50" t="s">
        <v>18</v>
      </c>
      <c r="K390" s="50" t="s">
        <v>18</v>
      </c>
      <c r="L390" s="50" t="s">
        <v>20</v>
      </c>
      <c r="M390" s="50" t="s">
        <v>37</v>
      </c>
      <c r="N390" s="50" t="s">
        <v>18</v>
      </c>
      <c r="O390" s="50" t="s">
        <v>24</v>
      </c>
      <c r="P390" s="50" t="s">
        <v>22</v>
      </c>
      <c r="Q390" s="50" t="s">
        <v>46</v>
      </c>
      <c r="R390" s="163"/>
      <c r="S390" s="58" t="s">
        <v>0</v>
      </c>
      <c r="T390" s="1">
        <v>143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5">
        <f t="shared" si="102"/>
        <v>143</v>
      </c>
      <c r="AB390" s="54">
        <v>2018</v>
      </c>
      <c r="AC390" s="9"/>
      <c r="AD390" s="91"/>
      <c r="AE390" s="91"/>
    </row>
    <row r="391" spans="1:31" ht="16.350000000000001" hidden="1" customHeight="1" x14ac:dyDescent="0.25">
      <c r="A391" s="50" t="s">
        <v>18</v>
      </c>
      <c r="B391" s="50" t="s">
        <v>18</v>
      </c>
      <c r="C391" s="50" t="s">
        <v>21</v>
      </c>
      <c r="D391" s="50" t="s">
        <v>18</v>
      </c>
      <c r="E391" s="50" t="s">
        <v>21</v>
      </c>
      <c r="F391" s="50" t="s">
        <v>18</v>
      </c>
      <c r="G391" s="50" t="s">
        <v>22</v>
      </c>
      <c r="H391" s="50" t="s">
        <v>19</v>
      </c>
      <c r="I391" s="50" t="s">
        <v>24</v>
      </c>
      <c r="J391" s="50" t="s">
        <v>18</v>
      </c>
      <c r="K391" s="50" t="s">
        <v>18</v>
      </c>
      <c r="L391" s="50" t="s">
        <v>20</v>
      </c>
      <c r="M391" s="50" t="s">
        <v>37</v>
      </c>
      <c r="N391" s="50" t="s">
        <v>18</v>
      </c>
      <c r="O391" s="50" t="s">
        <v>24</v>
      </c>
      <c r="P391" s="50" t="s">
        <v>22</v>
      </c>
      <c r="Q391" s="50" t="s">
        <v>39</v>
      </c>
      <c r="R391" s="163"/>
      <c r="S391" s="58" t="s">
        <v>0</v>
      </c>
      <c r="T391" s="1">
        <v>745.5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5">
        <f t="shared" si="102"/>
        <v>745.5</v>
      </c>
      <c r="AB391" s="54">
        <v>2018</v>
      </c>
      <c r="AC391" s="9"/>
      <c r="AD391" s="91"/>
      <c r="AE391" s="91"/>
    </row>
    <row r="392" spans="1:31" ht="36.6" hidden="1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71" t="s">
        <v>216</v>
      </c>
      <c r="S392" s="75" t="s">
        <v>167</v>
      </c>
      <c r="T392" s="3">
        <v>1070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6">
        <f t="shared" si="102"/>
        <v>1070</v>
      </c>
      <c r="AB392" s="39">
        <v>2018</v>
      </c>
      <c r="AC392" s="9"/>
      <c r="AD392" s="91"/>
      <c r="AE392" s="91"/>
    </row>
    <row r="393" spans="1:31" ht="19.899999999999999" hidden="1" customHeight="1" x14ac:dyDescent="0.2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163" t="s">
        <v>217</v>
      </c>
      <c r="S393" s="58" t="s">
        <v>0</v>
      </c>
      <c r="T393" s="1">
        <f>SUM(T394:T398)</f>
        <v>263.89999999999998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5">
        <f t="shared" si="102"/>
        <v>263.89999999999998</v>
      </c>
      <c r="AB393" s="54">
        <v>2018</v>
      </c>
      <c r="AC393" s="9"/>
      <c r="AD393" s="91"/>
      <c r="AE393" s="91"/>
    </row>
    <row r="394" spans="1:31" ht="16.350000000000001" hidden="1" customHeight="1" x14ac:dyDescent="0.25">
      <c r="A394" s="50" t="s">
        <v>18</v>
      </c>
      <c r="B394" s="50" t="s">
        <v>18</v>
      </c>
      <c r="C394" s="50" t="s">
        <v>21</v>
      </c>
      <c r="D394" s="50" t="s">
        <v>18</v>
      </c>
      <c r="E394" s="50" t="s">
        <v>21</v>
      </c>
      <c r="F394" s="50" t="s">
        <v>18</v>
      </c>
      <c r="G394" s="50" t="s">
        <v>22</v>
      </c>
      <c r="H394" s="50" t="s">
        <v>19</v>
      </c>
      <c r="I394" s="50" t="s">
        <v>24</v>
      </c>
      <c r="J394" s="50" t="s">
        <v>18</v>
      </c>
      <c r="K394" s="50" t="s">
        <v>18</v>
      </c>
      <c r="L394" s="50" t="s">
        <v>20</v>
      </c>
      <c r="M394" s="50" t="s">
        <v>19</v>
      </c>
      <c r="N394" s="50" t="s">
        <v>18</v>
      </c>
      <c r="O394" s="50" t="s">
        <v>24</v>
      </c>
      <c r="P394" s="50" t="s">
        <v>22</v>
      </c>
      <c r="Q394" s="50" t="s">
        <v>45</v>
      </c>
      <c r="R394" s="163"/>
      <c r="S394" s="58" t="s">
        <v>0</v>
      </c>
      <c r="T394" s="1">
        <v>105.5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5">
        <f t="shared" si="102"/>
        <v>105.5</v>
      </c>
      <c r="AB394" s="54">
        <v>2018</v>
      </c>
      <c r="AC394" s="9"/>
      <c r="AD394" s="91"/>
      <c r="AE394" s="91"/>
    </row>
    <row r="395" spans="1:31" ht="16.350000000000001" hidden="1" customHeight="1" x14ac:dyDescent="0.25">
      <c r="A395" s="50" t="s">
        <v>18</v>
      </c>
      <c r="B395" s="50" t="s">
        <v>18</v>
      </c>
      <c r="C395" s="50" t="s">
        <v>21</v>
      </c>
      <c r="D395" s="50" t="s">
        <v>18</v>
      </c>
      <c r="E395" s="50" t="s">
        <v>21</v>
      </c>
      <c r="F395" s="50" t="s">
        <v>18</v>
      </c>
      <c r="G395" s="50" t="s">
        <v>22</v>
      </c>
      <c r="H395" s="50" t="s">
        <v>19</v>
      </c>
      <c r="I395" s="50" t="s">
        <v>24</v>
      </c>
      <c r="J395" s="50" t="s">
        <v>18</v>
      </c>
      <c r="K395" s="50" t="s">
        <v>18</v>
      </c>
      <c r="L395" s="50" t="s">
        <v>20</v>
      </c>
      <c r="M395" s="50" t="s">
        <v>19</v>
      </c>
      <c r="N395" s="50" t="s">
        <v>18</v>
      </c>
      <c r="O395" s="50" t="s">
        <v>43</v>
      </c>
      <c r="P395" s="50" t="s">
        <v>22</v>
      </c>
      <c r="Q395" s="50" t="s">
        <v>170</v>
      </c>
      <c r="R395" s="163"/>
      <c r="S395" s="58" t="s">
        <v>0</v>
      </c>
      <c r="T395" s="1">
        <v>20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5">
        <f t="shared" si="102"/>
        <v>20</v>
      </c>
      <c r="AB395" s="54">
        <v>2018</v>
      </c>
      <c r="AC395" s="9"/>
      <c r="AD395" s="91"/>
      <c r="AE395" s="91"/>
    </row>
    <row r="396" spans="1:31" ht="16.350000000000001" hidden="1" customHeight="1" x14ac:dyDescent="0.25">
      <c r="A396" s="50" t="s">
        <v>18</v>
      </c>
      <c r="B396" s="50" t="s">
        <v>18</v>
      </c>
      <c r="C396" s="50" t="s">
        <v>21</v>
      </c>
      <c r="D396" s="50" t="s">
        <v>18</v>
      </c>
      <c r="E396" s="50" t="s">
        <v>21</v>
      </c>
      <c r="F396" s="50" t="s">
        <v>18</v>
      </c>
      <c r="G396" s="50" t="s">
        <v>22</v>
      </c>
      <c r="H396" s="50" t="s">
        <v>19</v>
      </c>
      <c r="I396" s="50" t="s">
        <v>24</v>
      </c>
      <c r="J396" s="50" t="s">
        <v>18</v>
      </c>
      <c r="K396" s="50" t="s">
        <v>18</v>
      </c>
      <c r="L396" s="50" t="s">
        <v>20</v>
      </c>
      <c r="M396" s="50" t="s">
        <v>37</v>
      </c>
      <c r="N396" s="50" t="s">
        <v>18</v>
      </c>
      <c r="O396" s="50" t="s">
        <v>24</v>
      </c>
      <c r="P396" s="50" t="s">
        <v>22</v>
      </c>
      <c r="Q396" s="50" t="s">
        <v>46</v>
      </c>
      <c r="R396" s="163"/>
      <c r="S396" s="58" t="s">
        <v>0</v>
      </c>
      <c r="T396" s="1">
        <v>19.399999999999999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5">
        <f t="shared" si="102"/>
        <v>19.399999999999999</v>
      </c>
      <c r="AB396" s="54">
        <v>2018</v>
      </c>
      <c r="AC396" s="9"/>
      <c r="AD396" s="91"/>
      <c r="AE396" s="91"/>
    </row>
    <row r="397" spans="1:31" ht="16.350000000000001" hidden="1" customHeight="1" x14ac:dyDescent="0.25">
      <c r="A397" s="50" t="s">
        <v>18</v>
      </c>
      <c r="B397" s="50" t="s">
        <v>18</v>
      </c>
      <c r="C397" s="50" t="s">
        <v>21</v>
      </c>
      <c r="D397" s="50" t="s">
        <v>18</v>
      </c>
      <c r="E397" s="50" t="s">
        <v>21</v>
      </c>
      <c r="F397" s="50" t="s">
        <v>18</v>
      </c>
      <c r="G397" s="50" t="s">
        <v>22</v>
      </c>
      <c r="H397" s="50" t="s">
        <v>19</v>
      </c>
      <c r="I397" s="50" t="s">
        <v>24</v>
      </c>
      <c r="J397" s="50" t="s">
        <v>18</v>
      </c>
      <c r="K397" s="50" t="s">
        <v>18</v>
      </c>
      <c r="L397" s="50" t="s">
        <v>20</v>
      </c>
      <c r="M397" s="50" t="s">
        <v>37</v>
      </c>
      <c r="N397" s="50" t="s">
        <v>18</v>
      </c>
      <c r="O397" s="50" t="s">
        <v>24</v>
      </c>
      <c r="P397" s="50" t="s">
        <v>22</v>
      </c>
      <c r="Q397" s="50" t="s">
        <v>46</v>
      </c>
      <c r="R397" s="163"/>
      <c r="S397" s="58" t="s">
        <v>0</v>
      </c>
      <c r="T397" s="1">
        <v>39.6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5">
        <f t="shared" si="102"/>
        <v>39.6</v>
      </c>
      <c r="AB397" s="54">
        <v>2018</v>
      </c>
      <c r="AC397" s="9"/>
      <c r="AD397" s="91"/>
      <c r="AE397" s="91"/>
    </row>
    <row r="398" spans="1:31" ht="16.350000000000001" hidden="1" customHeight="1" x14ac:dyDescent="0.25">
      <c r="A398" s="50" t="s">
        <v>18</v>
      </c>
      <c r="B398" s="50" t="s">
        <v>18</v>
      </c>
      <c r="C398" s="50" t="s">
        <v>21</v>
      </c>
      <c r="D398" s="50" t="s">
        <v>18</v>
      </c>
      <c r="E398" s="50" t="s">
        <v>21</v>
      </c>
      <c r="F398" s="50" t="s">
        <v>18</v>
      </c>
      <c r="G398" s="50" t="s">
        <v>22</v>
      </c>
      <c r="H398" s="50" t="s">
        <v>19</v>
      </c>
      <c r="I398" s="50" t="s">
        <v>24</v>
      </c>
      <c r="J398" s="50" t="s">
        <v>18</v>
      </c>
      <c r="K398" s="50" t="s">
        <v>18</v>
      </c>
      <c r="L398" s="50" t="s">
        <v>20</v>
      </c>
      <c r="M398" s="50" t="s">
        <v>37</v>
      </c>
      <c r="N398" s="50" t="s">
        <v>18</v>
      </c>
      <c r="O398" s="50" t="s">
        <v>24</v>
      </c>
      <c r="P398" s="50" t="s">
        <v>22</v>
      </c>
      <c r="Q398" s="50" t="s">
        <v>39</v>
      </c>
      <c r="R398" s="163"/>
      <c r="S398" s="58" t="s">
        <v>0</v>
      </c>
      <c r="T398" s="1">
        <v>79.400000000000006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5">
        <f t="shared" si="102"/>
        <v>79.400000000000006</v>
      </c>
      <c r="AB398" s="54">
        <v>2018</v>
      </c>
      <c r="AC398" s="9"/>
      <c r="AD398" s="91"/>
      <c r="AE398" s="91"/>
    </row>
    <row r="399" spans="1:31" ht="36.6" hidden="1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71" t="s">
        <v>218</v>
      </c>
      <c r="S399" s="75" t="s">
        <v>8</v>
      </c>
      <c r="T399" s="42">
        <v>5</v>
      </c>
      <c r="U399" s="42">
        <v>0</v>
      </c>
      <c r="V399" s="42">
        <v>0</v>
      </c>
      <c r="W399" s="42">
        <v>0</v>
      </c>
      <c r="X399" s="42">
        <v>0</v>
      </c>
      <c r="Y399" s="42">
        <v>0</v>
      </c>
      <c r="Z399" s="42">
        <v>0</v>
      </c>
      <c r="AA399" s="6">
        <f t="shared" si="102"/>
        <v>5</v>
      </c>
      <c r="AB399" s="39">
        <v>2018</v>
      </c>
      <c r="AC399" s="9"/>
      <c r="AD399" s="91"/>
      <c r="AE399" s="91"/>
    </row>
    <row r="400" spans="1:31" ht="15.6" hidden="1" customHeight="1" x14ac:dyDescent="0.2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163" t="s">
        <v>219</v>
      </c>
      <c r="S400" s="58" t="s">
        <v>0</v>
      </c>
      <c r="T400" s="1">
        <f>SUM(T401:T405)</f>
        <v>490.3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5">
        <f t="shared" si="102"/>
        <v>490.3</v>
      </c>
      <c r="AB400" s="54">
        <v>2018</v>
      </c>
      <c r="AC400" s="9"/>
      <c r="AD400" s="91"/>
      <c r="AE400" s="91"/>
    </row>
    <row r="401" spans="1:31" ht="15.6" hidden="1" customHeight="1" x14ac:dyDescent="0.25">
      <c r="A401" s="50" t="s">
        <v>18</v>
      </c>
      <c r="B401" s="50" t="s">
        <v>18</v>
      </c>
      <c r="C401" s="50" t="s">
        <v>21</v>
      </c>
      <c r="D401" s="50" t="s">
        <v>18</v>
      </c>
      <c r="E401" s="50" t="s">
        <v>24</v>
      </c>
      <c r="F401" s="50" t="s">
        <v>18</v>
      </c>
      <c r="G401" s="50" t="s">
        <v>43</v>
      </c>
      <c r="H401" s="50" t="s">
        <v>19</v>
      </c>
      <c r="I401" s="50" t="s">
        <v>24</v>
      </c>
      <c r="J401" s="50" t="s">
        <v>18</v>
      </c>
      <c r="K401" s="50" t="s">
        <v>18</v>
      </c>
      <c r="L401" s="50" t="s">
        <v>20</v>
      </c>
      <c r="M401" s="50" t="s">
        <v>19</v>
      </c>
      <c r="N401" s="50" t="s">
        <v>18</v>
      </c>
      <c r="O401" s="50" t="s">
        <v>24</v>
      </c>
      <c r="P401" s="50" t="s">
        <v>22</v>
      </c>
      <c r="Q401" s="50" t="s">
        <v>45</v>
      </c>
      <c r="R401" s="163"/>
      <c r="S401" s="58" t="s">
        <v>0</v>
      </c>
      <c r="T401" s="1">
        <v>196.1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5">
        <f t="shared" si="102"/>
        <v>196.1</v>
      </c>
      <c r="AB401" s="54">
        <v>2018</v>
      </c>
      <c r="AC401" s="9"/>
      <c r="AD401" s="91"/>
      <c r="AE401" s="91"/>
    </row>
    <row r="402" spans="1:31" ht="15.6" hidden="1" customHeight="1" x14ac:dyDescent="0.25">
      <c r="A402" s="50" t="s">
        <v>18</v>
      </c>
      <c r="B402" s="50" t="s">
        <v>18</v>
      </c>
      <c r="C402" s="50" t="s">
        <v>21</v>
      </c>
      <c r="D402" s="50" t="s">
        <v>18</v>
      </c>
      <c r="E402" s="50" t="s">
        <v>24</v>
      </c>
      <c r="F402" s="50" t="s">
        <v>18</v>
      </c>
      <c r="G402" s="50" t="s">
        <v>43</v>
      </c>
      <c r="H402" s="50" t="s">
        <v>19</v>
      </c>
      <c r="I402" s="50" t="s">
        <v>24</v>
      </c>
      <c r="J402" s="50" t="s">
        <v>18</v>
      </c>
      <c r="K402" s="50" t="s">
        <v>18</v>
      </c>
      <c r="L402" s="50" t="s">
        <v>20</v>
      </c>
      <c r="M402" s="50" t="s">
        <v>19</v>
      </c>
      <c r="N402" s="50" t="s">
        <v>18</v>
      </c>
      <c r="O402" s="50" t="s">
        <v>43</v>
      </c>
      <c r="P402" s="50" t="s">
        <v>22</v>
      </c>
      <c r="Q402" s="50" t="s">
        <v>170</v>
      </c>
      <c r="R402" s="163"/>
      <c r="S402" s="58" t="s">
        <v>0</v>
      </c>
      <c r="T402" s="1">
        <v>30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5">
        <f>SUM(T402:Y402)</f>
        <v>30</v>
      </c>
      <c r="AB402" s="54">
        <v>2018</v>
      </c>
      <c r="AC402" s="9"/>
      <c r="AD402" s="91"/>
      <c r="AE402" s="91"/>
    </row>
    <row r="403" spans="1:31" ht="15.6" hidden="1" customHeight="1" x14ac:dyDescent="0.25">
      <c r="A403" s="50" t="s">
        <v>18</v>
      </c>
      <c r="B403" s="50" t="s">
        <v>18</v>
      </c>
      <c r="C403" s="50" t="s">
        <v>21</v>
      </c>
      <c r="D403" s="50" t="s">
        <v>18</v>
      </c>
      <c r="E403" s="50" t="s">
        <v>24</v>
      </c>
      <c r="F403" s="50" t="s">
        <v>18</v>
      </c>
      <c r="G403" s="50" t="s">
        <v>43</v>
      </c>
      <c r="H403" s="50" t="s">
        <v>19</v>
      </c>
      <c r="I403" s="50" t="s">
        <v>24</v>
      </c>
      <c r="J403" s="50" t="s">
        <v>18</v>
      </c>
      <c r="K403" s="50" t="s">
        <v>18</v>
      </c>
      <c r="L403" s="50" t="s">
        <v>20</v>
      </c>
      <c r="M403" s="50" t="s">
        <v>37</v>
      </c>
      <c r="N403" s="50" t="s">
        <v>18</v>
      </c>
      <c r="O403" s="50" t="s">
        <v>24</v>
      </c>
      <c r="P403" s="50" t="s">
        <v>22</v>
      </c>
      <c r="Q403" s="50" t="s">
        <v>46</v>
      </c>
      <c r="R403" s="163"/>
      <c r="S403" s="58" t="s">
        <v>0</v>
      </c>
      <c r="T403" s="1">
        <v>33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5">
        <f t="shared" si="102"/>
        <v>33</v>
      </c>
      <c r="AB403" s="54">
        <v>2018</v>
      </c>
      <c r="AC403" s="9"/>
      <c r="AD403" s="91"/>
      <c r="AE403" s="91"/>
    </row>
    <row r="404" spans="1:31" ht="15.6" hidden="1" customHeight="1" x14ac:dyDescent="0.25">
      <c r="A404" s="50" t="s">
        <v>18</v>
      </c>
      <c r="B404" s="50" t="s">
        <v>18</v>
      </c>
      <c r="C404" s="50" t="s">
        <v>21</v>
      </c>
      <c r="D404" s="50" t="s">
        <v>18</v>
      </c>
      <c r="E404" s="50" t="s">
        <v>24</v>
      </c>
      <c r="F404" s="50" t="s">
        <v>18</v>
      </c>
      <c r="G404" s="50" t="s">
        <v>43</v>
      </c>
      <c r="H404" s="50" t="s">
        <v>19</v>
      </c>
      <c r="I404" s="50" t="s">
        <v>24</v>
      </c>
      <c r="J404" s="50" t="s">
        <v>18</v>
      </c>
      <c r="K404" s="50" t="s">
        <v>18</v>
      </c>
      <c r="L404" s="50" t="s">
        <v>20</v>
      </c>
      <c r="M404" s="50" t="s">
        <v>37</v>
      </c>
      <c r="N404" s="50" t="s">
        <v>18</v>
      </c>
      <c r="O404" s="50" t="s">
        <v>24</v>
      </c>
      <c r="P404" s="50" t="s">
        <v>22</v>
      </c>
      <c r="Q404" s="50" t="s">
        <v>46</v>
      </c>
      <c r="R404" s="163"/>
      <c r="S404" s="58" t="s">
        <v>0</v>
      </c>
      <c r="T404" s="1">
        <v>102.9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5">
        <f t="shared" si="102"/>
        <v>102.9</v>
      </c>
      <c r="AB404" s="54">
        <v>2018</v>
      </c>
      <c r="AC404" s="9"/>
      <c r="AD404" s="91"/>
      <c r="AE404" s="91"/>
    </row>
    <row r="405" spans="1:31" ht="15.6" hidden="1" customHeight="1" x14ac:dyDescent="0.25">
      <c r="A405" s="50" t="s">
        <v>18</v>
      </c>
      <c r="B405" s="50" t="s">
        <v>18</v>
      </c>
      <c r="C405" s="50" t="s">
        <v>21</v>
      </c>
      <c r="D405" s="50" t="s">
        <v>18</v>
      </c>
      <c r="E405" s="50" t="s">
        <v>24</v>
      </c>
      <c r="F405" s="50" t="s">
        <v>18</v>
      </c>
      <c r="G405" s="50" t="s">
        <v>43</v>
      </c>
      <c r="H405" s="50" t="s">
        <v>19</v>
      </c>
      <c r="I405" s="50" t="s">
        <v>24</v>
      </c>
      <c r="J405" s="50" t="s">
        <v>18</v>
      </c>
      <c r="K405" s="50" t="s">
        <v>18</v>
      </c>
      <c r="L405" s="50" t="s">
        <v>20</v>
      </c>
      <c r="M405" s="50" t="s">
        <v>37</v>
      </c>
      <c r="N405" s="50" t="s">
        <v>18</v>
      </c>
      <c r="O405" s="50" t="s">
        <v>24</v>
      </c>
      <c r="P405" s="50" t="s">
        <v>22</v>
      </c>
      <c r="Q405" s="50" t="s">
        <v>39</v>
      </c>
      <c r="R405" s="163"/>
      <c r="S405" s="58" t="s">
        <v>0</v>
      </c>
      <c r="T405" s="1">
        <v>128.30000000000001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5">
        <f t="shared" si="102"/>
        <v>128.30000000000001</v>
      </c>
      <c r="AB405" s="54">
        <v>2018</v>
      </c>
      <c r="AC405" s="9"/>
      <c r="AD405" s="91"/>
      <c r="AE405" s="91"/>
    </row>
    <row r="406" spans="1:31" ht="31.15" hidden="1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69" t="s">
        <v>220</v>
      </c>
      <c r="S406" s="80" t="s">
        <v>172</v>
      </c>
      <c r="T406" s="3">
        <v>180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6">
        <f t="shared" si="102"/>
        <v>180</v>
      </c>
      <c r="AB406" s="39">
        <v>2018</v>
      </c>
      <c r="AC406" s="9"/>
      <c r="AD406" s="91"/>
      <c r="AE406" s="91"/>
    </row>
    <row r="407" spans="1:31" ht="15.6" hidden="1" customHeight="1" x14ac:dyDescent="0.2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163" t="s">
        <v>221</v>
      </c>
      <c r="S407" s="58" t="s">
        <v>0</v>
      </c>
      <c r="T407" s="1">
        <f>SUM(T408:T412)</f>
        <v>1177.5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5">
        <f t="shared" si="102"/>
        <v>1177.5</v>
      </c>
      <c r="AB407" s="54">
        <v>2018</v>
      </c>
      <c r="AC407" s="9"/>
      <c r="AD407" s="91"/>
      <c r="AE407" s="91"/>
    </row>
    <row r="408" spans="1:31" ht="15.6" hidden="1" customHeight="1" x14ac:dyDescent="0.25">
      <c r="A408" s="50" t="s">
        <v>18</v>
      </c>
      <c r="B408" s="50" t="s">
        <v>18</v>
      </c>
      <c r="C408" s="50" t="s">
        <v>21</v>
      </c>
      <c r="D408" s="50" t="s">
        <v>18</v>
      </c>
      <c r="E408" s="50" t="s">
        <v>21</v>
      </c>
      <c r="F408" s="50" t="s">
        <v>18</v>
      </c>
      <c r="G408" s="50" t="s">
        <v>22</v>
      </c>
      <c r="H408" s="50" t="s">
        <v>19</v>
      </c>
      <c r="I408" s="50" t="s">
        <v>24</v>
      </c>
      <c r="J408" s="50" t="s">
        <v>18</v>
      </c>
      <c r="K408" s="50" t="s">
        <v>18</v>
      </c>
      <c r="L408" s="50" t="s">
        <v>20</v>
      </c>
      <c r="M408" s="50" t="s">
        <v>19</v>
      </c>
      <c r="N408" s="50" t="s">
        <v>18</v>
      </c>
      <c r="O408" s="50" t="s">
        <v>24</v>
      </c>
      <c r="P408" s="50" t="s">
        <v>22</v>
      </c>
      <c r="Q408" s="50" t="s">
        <v>45</v>
      </c>
      <c r="R408" s="163"/>
      <c r="S408" s="58" t="s">
        <v>0</v>
      </c>
      <c r="T408" s="1">
        <v>400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5">
        <f t="shared" si="102"/>
        <v>400</v>
      </c>
      <c r="AB408" s="54">
        <v>2018</v>
      </c>
      <c r="AC408" s="9"/>
      <c r="AD408" s="91"/>
      <c r="AE408" s="91"/>
    </row>
    <row r="409" spans="1:31" ht="15.6" hidden="1" customHeight="1" x14ac:dyDescent="0.25">
      <c r="A409" s="50" t="s">
        <v>18</v>
      </c>
      <c r="B409" s="50" t="s">
        <v>18</v>
      </c>
      <c r="C409" s="50" t="s">
        <v>21</v>
      </c>
      <c r="D409" s="50" t="s">
        <v>18</v>
      </c>
      <c r="E409" s="50" t="s">
        <v>21</v>
      </c>
      <c r="F409" s="50" t="s">
        <v>18</v>
      </c>
      <c r="G409" s="50" t="s">
        <v>22</v>
      </c>
      <c r="H409" s="50" t="s">
        <v>19</v>
      </c>
      <c r="I409" s="50" t="s">
        <v>24</v>
      </c>
      <c r="J409" s="50" t="s">
        <v>18</v>
      </c>
      <c r="K409" s="50" t="s">
        <v>18</v>
      </c>
      <c r="L409" s="50" t="s">
        <v>20</v>
      </c>
      <c r="M409" s="50" t="s">
        <v>19</v>
      </c>
      <c r="N409" s="50" t="s">
        <v>18</v>
      </c>
      <c r="O409" s="50" t="s">
        <v>43</v>
      </c>
      <c r="P409" s="50" t="s">
        <v>22</v>
      </c>
      <c r="Q409" s="50" t="s">
        <v>170</v>
      </c>
      <c r="R409" s="163"/>
      <c r="S409" s="58" t="s">
        <v>0</v>
      </c>
      <c r="T409" s="1">
        <v>45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5">
        <f t="shared" si="102"/>
        <v>45</v>
      </c>
      <c r="AB409" s="54">
        <v>2018</v>
      </c>
      <c r="AC409" s="9"/>
      <c r="AD409" s="91"/>
      <c r="AE409" s="91"/>
    </row>
    <row r="410" spans="1:31" ht="15.6" hidden="1" customHeight="1" x14ac:dyDescent="0.25">
      <c r="A410" s="50" t="s">
        <v>18</v>
      </c>
      <c r="B410" s="50" t="s">
        <v>18</v>
      </c>
      <c r="C410" s="50" t="s">
        <v>21</v>
      </c>
      <c r="D410" s="50" t="s">
        <v>18</v>
      </c>
      <c r="E410" s="50" t="s">
        <v>21</v>
      </c>
      <c r="F410" s="50" t="s">
        <v>18</v>
      </c>
      <c r="G410" s="50" t="s">
        <v>22</v>
      </c>
      <c r="H410" s="50" t="s">
        <v>19</v>
      </c>
      <c r="I410" s="50" t="s">
        <v>24</v>
      </c>
      <c r="J410" s="50" t="s">
        <v>18</v>
      </c>
      <c r="K410" s="50" t="s">
        <v>18</v>
      </c>
      <c r="L410" s="50" t="s">
        <v>20</v>
      </c>
      <c r="M410" s="50" t="s">
        <v>37</v>
      </c>
      <c r="N410" s="50" t="s">
        <v>18</v>
      </c>
      <c r="O410" s="50" t="s">
        <v>24</v>
      </c>
      <c r="P410" s="50" t="s">
        <v>22</v>
      </c>
      <c r="Q410" s="50" t="s">
        <v>46</v>
      </c>
      <c r="R410" s="163"/>
      <c r="S410" s="58" t="s">
        <v>0</v>
      </c>
      <c r="T410" s="1">
        <v>58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55">
        <f t="shared" si="102"/>
        <v>58</v>
      </c>
      <c r="AB410" s="54">
        <v>2018</v>
      </c>
      <c r="AC410" s="9"/>
      <c r="AD410" s="91"/>
      <c r="AE410" s="91"/>
    </row>
    <row r="411" spans="1:31" ht="15.6" hidden="1" customHeight="1" x14ac:dyDescent="0.25">
      <c r="A411" s="50" t="s">
        <v>18</v>
      </c>
      <c r="B411" s="50" t="s">
        <v>18</v>
      </c>
      <c r="C411" s="50" t="s">
        <v>21</v>
      </c>
      <c r="D411" s="50" t="s">
        <v>18</v>
      </c>
      <c r="E411" s="50" t="s">
        <v>21</v>
      </c>
      <c r="F411" s="50" t="s">
        <v>18</v>
      </c>
      <c r="G411" s="50" t="s">
        <v>22</v>
      </c>
      <c r="H411" s="50" t="s">
        <v>19</v>
      </c>
      <c r="I411" s="50" t="s">
        <v>24</v>
      </c>
      <c r="J411" s="50" t="s">
        <v>18</v>
      </c>
      <c r="K411" s="50" t="s">
        <v>18</v>
      </c>
      <c r="L411" s="50" t="s">
        <v>20</v>
      </c>
      <c r="M411" s="50" t="s">
        <v>37</v>
      </c>
      <c r="N411" s="50" t="s">
        <v>18</v>
      </c>
      <c r="O411" s="50" t="s">
        <v>24</v>
      </c>
      <c r="P411" s="50" t="s">
        <v>22</v>
      </c>
      <c r="Q411" s="50" t="s">
        <v>46</v>
      </c>
      <c r="R411" s="163"/>
      <c r="S411" s="58" t="s">
        <v>0</v>
      </c>
      <c r="T411" s="1">
        <v>353.3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55">
        <f t="shared" si="102"/>
        <v>353.3</v>
      </c>
      <c r="AB411" s="54">
        <v>2018</v>
      </c>
      <c r="AC411" s="77"/>
      <c r="AD411" s="91"/>
      <c r="AE411" s="91"/>
    </row>
    <row r="412" spans="1:31" ht="15.6" hidden="1" customHeight="1" x14ac:dyDescent="0.25">
      <c r="A412" s="50" t="s">
        <v>18</v>
      </c>
      <c r="B412" s="50" t="s">
        <v>18</v>
      </c>
      <c r="C412" s="50" t="s">
        <v>21</v>
      </c>
      <c r="D412" s="50" t="s">
        <v>18</v>
      </c>
      <c r="E412" s="50" t="s">
        <v>21</v>
      </c>
      <c r="F412" s="50" t="s">
        <v>18</v>
      </c>
      <c r="G412" s="50" t="s">
        <v>22</v>
      </c>
      <c r="H412" s="50" t="s">
        <v>19</v>
      </c>
      <c r="I412" s="50" t="s">
        <v>24</v>
      </c>
      <c r="J412" s="50" t="s">
        <v>18</v>
      </c>
      <c r="K412" s="50" t="s">
        <v>18</v>
      </c>
      <c r="L412" s="50" t="s">
        <v>20</v>
      </c>
      <c r="M412" s="50" t="s">
        <v>37</v>
      </c>
      <c r="N412" s="50" t="s">
        <v>18</v>
      </c>
      <c r="O412" s="50" t="s">
        <v>24</v>
      </c>
      <c r="P412" s="50" t="s">
        <v>22</v>
      </c>
      <c r="Q412" s="50" t="s">
        <v>39</v>
      </c>
      <c r="R412" s="163"/>
      <c r="S412" s="58" t="s">
        <v>0</v>
      </c>
      <c r="T412" s="1">
        <v>321.2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5">
        <f t="shared" si="102"/>
        <v>321.2</v>
      </c>
      <c r="AB412" s="54">
        <v>2018</v>
      </c>
      <c r="AC412" s="9"/>
      <c r="AD412" s="91"/>
      <c r="AE412" s="91"/>
    </row>
    <row r="413" spans="1:31" ht="27.6" hidden="1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79" t="s">
        <v>222</v>
      </c>
      <c r="S413" s="75" t="s">
        <v>8</v>
      </c>
      <c r="T413" s="42">
        <v>1</v>
      </c>
      <c r="U413" s="42">
        <v>0</v>
      </c>
      <c r="V413" s="42">
        <v>0</v>
      </c>
      <c r="W413" s="42">
        <v>0</v>
      </c>
      <c r="X413" s="42">
        <v>0</v>
      </c>
      <c r="Y413" s="42">
        <v>0</v>
      </c>
      <c r="Z413" s="42">
        <v>0</v>
      </c>
      <c r="AA413" s="45">
        <f t="shared" si="102"/>
        <v>1</v>
      </c>
      <c r="AB413" s="39">
        <v>2018</v>
      </c>
      <c r="AC413" s="9"/>
      <c r="AD413" s="91"/>
      <c r="AE413" s="91"/>
    </row>
    <row r="414" spans="1:31" ht="15.6" hidden="1" customHeight="1" x14ac:dyDescent="0.2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163" t="s">
        <v>223</v>
      </c>
      <c r="S414" s="58" t="s">
        <v>0</v>
      </c>
      <c r="T414" s="1">
        <f>SUM(T415:T418)</f>
        <v>979.3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5">
        <f t="shared" si="102"/>
        <v>979.3</v>
      </c>
      <c r="AB414" s="54">
        <v>2018</v>
      </c>
      <c r="AC414" s="9"/>
      <c r="AD414" s="91"/>
      <c r="AE414" s="91"/>
    </row>
    <row r="415" spans="1:31" ht="15.6" hidden="1" customHeight="1" x14ac:dyDescent="0.25">
      <c r="A415" s="50" t="s">
        <v>18</v>
      </c>
      <c r="B415" s="50" t="s">
        <v>18</v>
      </c>
      <c r="C415" s="50" t="s">
        <v>21</v>
      </c>
      <c r="D415" s="50" t="s">
        <v>18</v>
      </c>
      <c r="E415" s="50" t="s">
        <v>21</v>
      </c>
      <c r="F415" s="50" t="s">
        <v>18</v>
      </c>
      <c r="G415" s="50" t="s">
        <v>22</v>
      </c>
      <c r="H415" s="50" t="s">
        <v>19</v>
      </c>
      <c r="I415" s="50" t="s">
        <v>24</v>
      </c>
      <c r="J415" s="50" t="s">
        <v>18</v>
      </c>
      <c r="K415" s="50" t="s">
        <v>18</v>
      </c>
      <c r="L415" s="50" t="s">
        <v>20</v>
      </c>
      <c r="M415" s="50" t="s">
        <v>19</v>
      </c>
      <c r="N415" s="50" t="s">
        <v>18</v>
      </c>
      <c r="O415" s="50" t="s">
        <v>24</v>
      </c>
      <c r="P415" s="50" t="s">
        <v>22</v>
      </c>
      <c r="Q415" s="50" t="s">
        <v>45</v>
      </c>
      <c r="R415" s="163"/>
      <c r="S415" s="58" t="s">
        <v>0</v>
      </c>
      <c r="T415" s="1">
        <v>391.7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5">
        <f t="shared" si="102"/>
        <v>391.7</v>
      </c>
      <c r="AB415" s="54">
        <v>2018</v>
      </c>
      <c r="AC415" s="9"/>
      <c r="AD415" s="91"/>
      <c r="AE415" s="91"/>
    </row>
    <row r="416" spans="1:31" ht="15.6" hidden="1" customHeight="1" x14ac:dyDescent="0.25">
      <c r="A416" s="50" t="s">
        <v>18</v>
      </c>
      <c r="B416" s="50" t="s">
        <v>18</v>
      </c>
      <c r="C416" s="50" t="s">
        <v>21</v>
      </c>
      <c r="D416" s="50" t="s">
        <v>18</v>
      </c>
      <c r="E416" s="50" t="s">
        <v>21</v>
      </c>
      <c r="F416" s="50" t="s">
        <v>18</v>
      </c>
      <c r="G416" s="50" t="s">
        <v>22</v>
      </c>
      <c r="H416" s="50" t="s">
        <v>19</v>
      </c>
      <c r="I416" s="50" t="s">
        <v>24</v>
      </c>
      <c r="J416" s="50" t="s">
        <v>18</v>
      </c>
      <c r="K416" s="50" t="s">
        <v>18</v>
      </c>
      <c r="L416" s="50" t="s">
        <v>20</v>
      </c>
      <c r="M416" s="50" t="s">
        <v>37</v>
      </c>
      <c r="N416" s="50" t="s">
        <v>18</v>
      </c>
      <c r="O416" s="50" t="s">
        <v>43</v>
      </c>
      <c r="P416" s="50" t="s">
        <v>22</v>
      </c>
      <c r="Q416" s="50" t="s">
        <v>170</v>
      </c>
      <c r="R416" s="163"/>
      <c r="S416" s="58" t="s">
        <v>0</v>
      </c>
      <c r="T416" s="1">
        <v>30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55">
        <f t="shared" si="102"/>
        <v>30</v>
      </c>
      <c r="AB416" s="54">
        <v>2018</v>
      </c>
      <c r="AC416" s="9"/>
      <c r="AD416" s="91"/>
      <c r="AE416" s="91"/>
    </row>
    <row r="417" spans="1:31" ht="15.6" hidden="1" customHeight="1" x14ac:dyDescent="0.25">
      <c r="A417" s="50" t="s">
        <v>18</v>
      </c>
      <c r="B417" s="50" t="s">
        <v>18</v>
      </c>
      <c r="C417" s="50" t="s">
        <v>21</v>
      </c>
      <c r="D417" s="50" t="s">
        <v>18</v>
      </c>
      <c r="E417" s="50" t="s">
        <v>21</v>
      </c>
      <c r="F417" s="50" t="s">
        <v>18</v>
      </c>
      <c r="G417" s="50" t="s">
        <v>22</v>
      </c>
      <c r="H417" s="50" t="s">
        <v>19</v>
      </c>
      <c r="I417" s="50" t="s">
        <v>24</v>
      </c>
      <c r="J417" s="50" t="s">
        <v>18</v>
      </c>
      <c r="K417" s="50" t="s">
        <v>18</v>
      </c>
      <c r="L417" s="50" t="s">
        <v>20</v>
      </c>
      <c r="M417" s="50" t="s">
        <v>37</v>
      </c>
      <c r="N417" s="50" t="s">
        <v>18</v>
      </c>
      <c r="O417" s="50" t="s">
        <v>24</v>
      </c>
      <c r="P417" s="50" t="s">
        <v>22</v>
      </c>
      <c r="Q417" s="50" t="s">
        <v>46</v>
      </c>
      <c r="R417" s="163"/>
      <c r="S417" s="58" t="s">
        <v>0</v>
      </c>
      <c r="T417" s="1">
        <v>205.6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5">
        <f t="shared" si="102"/>
        <v>205.6</v>
      </c>
      <c r="AB417" s="54">
        <v>2018</v>
      </c>
      <c r="AC417" s="9"/>
      <c r="AD417" s="91"/>
      <c r="AE417" s="91"/>
    </row>
    <row r="418" spans="1:31" ht="15.6" hidden="1" customHeight="1" x14ac:dyDescent="0.25">
      <c r="A418" s="50" t="s">
        <v>18</v>
      </c>
      <c r="B418" s="50" t="s">
        <v>18</v>
      </c>
      <c r="C418" s="50" t="s">
        <v>21</v>
      </c>
      <c r="D418" s="50" t="s">
        <v>18</v>
      </c>
      <c r="E418" s="50" t="s">
        <v>21</v>
      </c>
      <c r="F418" s="50" t="s">
        <v>18</v>
      </c>
      <c r="G418" s="50" t="s">
        <v>22</v>
      </c>
      <c r="H418" s="50" t="s">
        <v>19</v>
      </c>
      <c r="I418" s="50" t="s">
        <v>24</v>
      </c>
      <c r="J418" s="50" t="s">
        <v>18</v>
      </c>
      <c r="K418" s="50" t="s">
        <v>18</v>
      </c>
      <c r="L418" s="50" t="s">
        <v>20</v>
      </c>
      <c r="M418" s="50" t="s">
        <v>37</v>
      </c>
      <c r="N418" s="50" t="s">
        <v>18</v>
      </c>
      <c r="O418" s="50" t="s">
        <v>24</v>
      </c>
      <c r="P418" s="50" t="s">
        <v>22</v>
      </c>
      <c r="Q418" s="50" t="s">
        <v>39</v>
      </c>
      <c r="R418" s="163"/>
      <c r="S418" s="58" t="s">
        <v>0</v>
      </c>
      <c r="T418" s="1">
        <v>352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5">
        <f t="shared" si="102"/>
        <v>352</v>
      </c>
      <c r="AB418" s="54">
        <v>2018</v>
      </c>
      <c r="AC418" s="9"/>
      <c r="AD418" s="91"/>
      <c r="AE418" s="91"/>
    </row>
    <row r="419" spans="1:31" ht="31.15" hidden="1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71" t="s">
        <v>224</v>
      </c>
      <c r="S419" s="75" t="s">
        <v>167</v>
      </c>
      <c r="T419" s="3">
        <v>356.5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6">
        <f t="shared" si="102"/>
        <v>356.5</v>
      </c>
      <c r="AB419" s="39">
        <v>2018</v>
      </c>
      <c r="AC419" s="9"/>
      <c r="AD419" s="91"/>
      <c r="AE419" s="91"/>
    </row>
    <row r="420" spans="1:31" ht="15.6" hidden="1" customHeight="1" x14ac:dyDescent="0.2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163" t="s">
        <v>225</v>
      </c>
      <c r="S420" s="58" t="s">
        <v>0</v>
      </c>
      <c r="T420" s="1">
        <f>SUM(T421:T424)</f>
        <v>695.4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5">
        <f t="shared" si="102"/>
        <v>695.4</v>
      </c>
      <c r="AB420" s="54">
        <v>2018</v>
      </c>
      <c r="AC420" s="9"/>
      <c r="AD420" s="91"/>
      <c r="AE420" s="91"/>
    </row>
    <row r="421" spans="1:31" ht="15.6" hidden="1" customHeight="1" x14ac:dyDescent="0.25">
      <c r="A421" s="50" t="s">
        <v>18</v>
      </c>
      <c r="B421" s="50" t="s">
        <v>18</v>
      </c>
      <c r="C421" s="50" t="s">
        <v>21</v>
      </c>
      <c r="D421" s="50" t="s">
        <v>18</v>
      </c>
      <c r="E421" s="50" t="s">
        <v>21</v>
      </c>
      <c r="F421" s="50" t="s">
        <v>18</v>
      </c>
      <c r="G421" s="50" t="s">
        <v>22</v>
      </c>
      <c r="H421" s="50" t="s">
        <v>19</v>
      </c>
      <c r="I421" s="50" t="s">
        <v>24</v>
      </c>
      <c r="J421" s="50" t="s">
        <v>18</v>
      </c>
      <c r="K421" s="50" t="s">
        <v>18</v>
      </c>
      <c r="L421" s="50" t="s">
        <v>20</v>
      </c>
      <c r="M421" s="50" t="s">
        <v>19</v>
      </c>
      <c r="N421" s="50" t="s">
        <v>18</v>
      </c>
      <c r="O421" s="50" t="s">
        <v>24</v>
      </c>
      <c r="P421" s="50" t="s">
        <v>22</v>
      </c>
      <c r="Q421" s="50" t="s">
        <v>45</v>
      </c>
      <c r="R421" s="163"/>
      <c r="S421" s="58" t="s">
        <v>0</v>
      </c>
      <c r="T421" s="1">
        <v>278.2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5">
        <f t="shared" si="102"/>
        <v>278.2</v>
      </c>
      <c r="AB421" s="54">
        <v>2018</v>
      </c>
      <c r="AC421" s="9"/>
      <c r="AD421" s="91"/>
      <c r="AE421" s="91"/>
    </row>
    <row r="422" spans="1:31" ht="15.6" hidden="1" customHeight="1" x14ac:dyDescent="0.25">
      <c r="A422" s="50" t="s">
        <v>18</v>
      </c>
      <c r="B422" s="50" t="s">
        <v>18</v>
      </c>
      <c r="C422" s="50" t="s">
        <v>21</v>
      </c>
      <c r="D422" s="50" t="s">
        <v>18</v>
      </c>
      <c r="E422" s="50" t="s">
        <v>21</v>
      </c>
      <c r="F422" s="50" t="s">
        <v>18</v>
      </c>
      <c r="G422" s="50" t="s">
        <v>22</v>
      </c>
      <c r="H422" s="50" t="s">
        <v>19</v>
      </c>
      <c r="I422" s="50" t="s">
        <v>24</v>
      </c>
      <c r="J422" s="50" t="s">
        <v>18</v>
      </c>
      <c r="K422" s="50" t="s">
        <v>18</v>
      </c>
      <c r="L422" s="50" t="s">
        <v>20</v>
      </c>
      <c r="M422" s="50" t="s">
        <v>37</v>
      </c>
      <c r="N422" s="50" t="s">
        <v>18</v>
      </c>
      <c r="O422" s="50" t="s">
        <v>43</v>
      </c>
      <c r="P422" s="50" t="s">
        <v>22</v>
      </c>
      <c r="Q422" s="50" t="s">
        <v>170</v>
      </c>
      <c r="R422" s="163"/>
      <c r="S422" s="58" t="s">
        <v>0</v>
      </c>
      <c r="T422" s="1">
        <v>20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5">
        <f t="shared" si="102"/>
        <v>20</v>
      </c>
      <c r="AB422" s="54">
        <v>2018</v>
      </c>
      <c r="AC422" s="9"/>
      <c r="AD422" s="91"/>
      <c r="AE422" s="91"/>
    </row>
    <row r="423" spans="1:31" ht="15.6" hidden="1" customHeight="1" x14ac:dyDescent="0.25">
      <c r="A423" s="50" t="s">
        <v>18</v>
      </c>
      <c r="B423" s="50" t="s">
        <v>18</v>
      </c>
      <c r="C423" s="50" t="s">
        <v>21</v>
      </c>
      <c r="D423" s="50" t="s">
        <v>18</v>
      </c>
      <c r="E423" s="50" t="s">
        <v>21</v>
      </c>
      <c r="F423" s="50" t="s">
        <v>18</v>
      </c>
      <c r="G423" s="50" t="s">
        <v>22</v>
      </c>
      <c r="H423" s="50" t="s">
        <v>19</v>
      </c>
      <c r="I423" s="50" t="s">
        <v>24</v>
      </c>
      <c r="J423" s="50" t="s">
        <v>18</v>
      </c>
      <c r="K423" s="50" t="s">
        <v>18</v>
      </c>
      <c r="L423" s="50" t="s">
        <v>20</v>
      </c>
      <c r="M423" s="50" t="s">
        <v>37</v>
      </c>
      <c r="N423" s="50" t="s">
        <v>18</v>
      </c>
      <c r="O423" s="50" t="s">
        <v>24</v>
      </c>
      <c r="P423" s="50" t="s">
        <v>22</v>
      </c>
      <c r="Q423" s="50" t="s">
        <v>46</v>
      </c>
      <c r="R423" s="163"/>
      <c r="S423" s="58" t="s">
        <v>0</v>
      </c>
      <c r="T423" s="1">
        <v>104.3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55">
        <f t="shared" si="102"/>
        <v>104.3</v>
      </c>
      <c r="AB423" s="54">
        <v>2018</v>
      </c>
      <c r="AC423" s="9"/>
      <c r="AD423" s="91"/>
      <c r="AE423" s="91"/>
    </row>
    <row r="424" spans="1:31" ht="15.6" hidden="1" customHeight="1" x14ac:dyDescent="0.25">
      <c r="A424" s="50" t="s">
        <v>18</v>
      </c>
      <c r="B424" s="50" t="s">
        <v>18</v>
      </c>
      <c r="C424" s="50" t="s">
        <v>21</v>
      </c>
      <c r="D424" s="50" t="s">
        <v>18</v>
      </c>
      <c r="E424" s="50" t="s">
        <v>21</v>
      </c>
      <c r="F424" s="50" t="s">
        <v>18</v>
      </c>
      <c r="G424" s="50" t="s">
        <v>22</v>
      </c>
      <c r="H424" s="50" t="s">
        <v>19</v>
      </c>
      <c r="I424" s="50" t="s">
        <v>24</v>
      </c>
      <c r="J424" s="50" t="s">
        <v>18</v>
      </c>
      <c r="K424" s="50" t="s">
        <v>18</v>
      </c>
      <c r="L424" s="50" t="s">
        <v>20</v>
      </c>
      <c r="M424" s="50" t="s">
        <v>37</v>
      </c>
      <c r="N424" s="50" t="s">
        <v>18</v>
      </c>
      <c r="O424" s="50" t="s">
        <v>24</v>
      </c>
      <c r="P424" s="50" t="s">
        <v>22</v>
      </c>
      <c r="Q424" s="50" t="s">
        <v>39</v>
      </c>
      <c r="R424" s="163"/>
      <c r="S424" s="58" t="s">
        <v>0</v>
      </c>
      <c r="T424" s="1">
        <v>292.89999999999998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5">
        <f t="shared" si="102"/>
        <v>292.89999999999998</v>
      </c>
      <c r="AB424" s="54">
        <v>2018</v>
      </c>
      <c r="AC424" s="9"/>
      <c r="AD424" s="91"/>
      <c r="AE424" s="91"/>
    </row>
    <row r="425" spans="1:31" ht="31.15" hidden="1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69" t="s">
        <v>226</v>
      </c>
      <c r="S425" s="80" t="s">
        <v>172</v>
      </c>
      <c r="T425" s="3">
        <v>190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6">
        <f t="shared" si="102"/>
        <v>190</v>
      </c>
      <c r="AB425" s="39">
        <v>2018</v>
      </c>
      <c r="AC425" s="9"/>
      <c r="AD425" s="91"/>
      <c r="AE425" s="91"/>
    </row>
    <row r="426" spans="1:31" ht="15.6" hidden="1" customHeight="1" x14ac:dyDescent="0.2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163" t="s">
        <v>227</v>
      </c>
      <c r="S426" s="58" t="s">
        <v>0</v>
      </c>
      <c r="T426" s="1">
        <f>SUM(T427:T431)</f>
        <v>836.4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5">
        <f t="shared" si="102"/>
        <v>836.4</v>
      </c>
      <c r="AB426" s="54">
        <v>2018</v>
      </c>
      <c r="AC426" s="9"/>
      <c r="AD426" s="91"/>
      <c r="AE426" s="91"/>
    </row>
    <row r="427" spans="1:31" ht="15.6" hidden="1" customHeight="1" x14ac:dyDescent="0.25">
      <c r="A427" s="50" t="s">
        <v>18</v>
      </c>
      <c r="B427" s="50" t="s">
        <v>18</v>
      </c>
      <c r="C427" s="50" t="s">
        <v>21</v>
      </c>
      <c r="D427" s="50" t="s">
        <v>18</v>
      </c>
      <c r="E427" s="50" t="s">
        <v>21</v>
      </c>
      <c r="F427" s="50" t="s">
        <v>18</v>
      </c>
      <c r="G427" s="50" t="s">
        <v>22</v>
      </c>
      <c r="H427" s="50" t="s">
        <v>19</v>
      </c>
      <c r="I427" s="50" t="s">
        <v>24</v>
      </c>
      <c r="J427" s="50" t="s">
        <v>18</v>
      </c>
      <c r="K427" s="50" t="s">
        <v>18</v>
      </c>
      <c r="L427" s="50" t="s">
        <v>20</v>
      </c>
      <c r="M427" s="50" t="s">
        <v>19</v>
      </c>
      <c r="N427" s="50" t="s">
        <v>18</v>
      </c>
      <c r="O427" s="50" t="s">
        <v>24</v>
      </c>
      <c r="P427" s="50" t="s">
        <v>22</v>
      </c>
      <c r="Q427" s="50" t="s">
        <v>45</v>
      </c>
      <c r="R427" s="163"/>
      <c r="S427" s="58" t="s">
        <v>0</v>
      </c>
      <c r="T427" s="1">
        <v>334.5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5">
        <f t="shared" si="102"/>
        <v>334.5</v>
      </c>
      <c r="AB427" s="54">
        <v>2018</v>
      </c>
      <c r="AC427" s="9"/>
      <c r="AD427" s="91"/>
      <c r="AE427" s="91"/>
    </row>
    <row r="428" spans="1:31" ht="15.6" hidden="1" customHeight="1" x14ac:dyDescent="0.25">
      <c r="A428" s="50" t="s">
        <v>18</v>
      </c>
      <c r="B428" s="50" t="s">
        <v>18</v>
      </c>
      <c r="C428" s="50" t="s">
        <v>21</v>
      </c>
      <c r="D428" s="50" t="s">
        <v>18</v>
      </c>
      <c r="E428" s="50" t="s">
        <v>21</v>
      </c>
      <c r="F428" s="50" t="s">
        <v>18</v>
      </c>
      <c r="G428" s="50" t="s">
        <v>22</v>
      </c>
      <c r="H428" s="50" t="s">
        <v>19</v>
      </c>
      <c r="I428" s="50" t="s">
        <v>24</v>
      </c>
      <c r="J428" s="50" t="s">
        <v>18</v>
      </c>
      <c r="K428" s="50" t="s">
        <v>18</v>
      </c>
      <c r="L428" s="50" t="s">
        <v>20</v>
      </c>
      <c r="M428" s="50" t="s">
        <v>19</v>
      </c>
      <c r="N428" s="50" t="s">
        <v>18</v>
      </c>
      <c r="O428" s="50" t="s">
        <v>43</v>
      </c>
      <c r="P428" s="50" t="s">
        <v>22</v>
      </c>
      <c r="Q428" s="50" t="s">
        <v>170</v>
      </c>
      <c r="R428" s="163"/>
      <c r="S428" s="58" t="s">
        <v>0</v>
      </c>
      <c r="T428" s="1">
        <v>30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5">
        <f>SUM(T428:Y428)</f>
        <v>30</v>
      </c>
      <c r="AB428" s="54">
        <v>2018</v>
      </c>
      <c r="AC428" s="9"/>
      <c r="AD428" s="91"/>
      <c r="AE428" s="91"/>
    </row>
    <row r="429" spans="1:31" ht="15.6" hidden="1" customHeight="1" x14ac:dyDescent="0.25">
      <c r="A429" s="50" t="s">
        <v>18</v>
      </c>
      <c r="B429" s="50" t="s">
        <v>18</v>
      </c>
      <c r="C429" s="50" t="s">
        <v>21</v>
      </c>
      <c r="D429" s="50" t="s">
        <v>18</v>
      </c>
      <c r="E429" s="50" t="s">
        <v>21</v>
      </c>
      <c r="F429" s="50" t="s">
        <v>18</v>
      </c>
      <c r="G429" s="50" t="s">
        <v>22</v>
      </c>
      <c r="H429" s="50" t="s">
        <v>19</v>
      </c>
      <c r="I429" s="50" t="s">
        <v>24</v>
      </c>
      <c r="J429" s="50" t="s">
        <v>18</v>
      </c>
      <c r="K429" s="50" t="s">
        <v>18</v>
      </c>
      <c r="L429" s="50" t="s">
        <v>20</v>
      </c>
      <c r="M429" s="50" t="s">
        <v>37</v>
      </c>
      <c r="N429" s="50" t="s">
        <v>18</v>
      </c>
      <c r="O429" s="50" t="s">
        <v>24</v>
      </c>
      <c r="P429" s="50" t="s">
        <v>22</v>
      </c>
      <c r="Q429" s="50" t="s">
        <v>46</v>
      </c>
      <c r="R429" s="163"/>
      <c r="S429" s="58" t="s">
        <v>0</v>
      </c>
      <c r="T429" s="1">
        <v>16.399999999999999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55">
        <f t="shared" si="102"/>
        <v>16.399999999999999</v>
      </c>
      <c r="AB429" s="54">
        <v>2018</v>
      </c>
      <c r="AC429" s="9"/>
      <c r="AD429" s="91"/>
      <c r="AE429" s="91"/>
    </row>
    <row r="430" spans="1:31" ht="15.6" hidden="1" customHeight="1" x14ac:dyDescent="0.25">
      <c r="A430" s="50" t="s">
        <v>18</v>
      </c>
      <c r="B430" s="50" t="s">
        <v>18</v>
      </c>
      <c r="C430" s="50" t="s">
        <v>21</v>
      </c>
      <c r="D430" s="50" t="s">
        <v>18</v>
      </c>
      <c r="E430" s="50" t="s">
        <v>21</v>
      </c>
      <c r="F430" s="50" t="s">
        <v>18</v>
      </c>
      <c r="G430" s="50" t="s">
        <v>22</v>
      </c>
      <c r="H430" s="50" t="s">
        <v>19</v>
      </c>
      <c r="I430" s="50" t="s">
        <v>24</v>
      </c>
      <c r="J430" s="50" t="s">
        <v>18</v>
      </c>
      <c r="K430" s="50" t="s">
        <v>18</v>
      </c>
      <c r="L430" s="50" t="s">
        <v>20</v>
      </c>
      <c r="M430" s="50" t="s">
        <v>37</v>
      </c>
      <c r="N430" s="50" t="s">
        <v>18</v>
      </c>
      <c r="O430" s="50" t="s">
        <v>24</v>
      </c>
      <c r="P430" s="50" t="s">
        <v>22</v>
      </c>
      <c r="Q430" s="50" t="s">
        <v>46</v>
      </c>
      <c r="R430" s="163"/>
      <c r="S430" s="58" t="s">
        <v>0</v>
      </c>
      <c r="T430" s="1">
        <v>125.5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55">
        <f t="shared" si="102"/>
        <v>125.5</v>
      </c>
      <c r="AB430" s="54">
        <v>2018</v>
      </c>
      <c r="AC430" s="9"/>
      <c r="AD430" s="91"/>
      <c r="AE430" s="91"/>
    </row>
    <row r="431" spans="1:31" ht="15.6" hidden="1" customHeight="1" x14ac:dyDescent="0.25">
      <c r="A431" s="50" t="s">
        <v>18</v>
      </c>
      <c r="B431" s="50" t="s">
        <v>18</v>
      </c>
      <c r="C431" s="50" t="s">
        <v>21</v>
      </c>
      <c r="D431" s="50" t="s">
        <v>18</v>
      </c>
      <c r="E431" s="50" t="s">
        <v>21</v>
      </c>
      <c r="F431" s="50" t="s">
        <v>18</v>
      </c>
      <c r="G431" s="50" t="s">
        <v>22</v>
      </c>
      <c r="H431" s="50" t="s">
        <v>19</v>
      </c>
      <c r="I431" s="50" t="s">
        <v>24</v>
      </c>
      <c r="J431" s="50" t="s">
        <v>18</v>
      </c>
      <c r="K431" s="50" t="s">
        <v>18</v>
      </c>
      <c r="L431" s="50" t="s">
        <v>20</v>
      </c>
      <c r="M431" s="50" t="s">
        <v>37</v>
      </c>
      <c r="N431" s="50" t="s">
        <v>18</v>
      </c>
      <c r="O431" s="50" t="s">
        <v>24</v>
      </c>
      <c r="P431" s="50" t="s">
        <v>22</v>
      </c>
      <c r="Q431" s="50" t="s">
        <v>39</v>
      </c>
      <c r="R431" s="163"/>
      <c r="S431" s="58" t="s">
        <v>0</v>
      </c>
      <c r="T431" s="1">
        <v>330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55">
        <f t="shared" si="102"/>
        <v>330</v>
      </c>
      <c r="AB431" s="54">
        <v>2018</v>
      </c>
      <c r="AC431" s="9"/>
      <c r="AD431" s="91"/>
      <c r="AE431" s="91"/>
    </row>
    <row r="432" spans="1:31" ht="27.6" hidden="1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79" t="s">
        <v>228</v>
      </c>
      <c r="S432" s="75" t="s">
        <v>8</v>
      </c>
      <c r="T432" s="42">
        <v>1</v>
      </c>
      <c r="U432" s="42">
        <v>0</v>
      </c>
      <c r="V432" s="42">
        <v>0</v>
      </c>
      <c r="W432" s="42">
        <v>0</v>
      </c>
      <c r="X432" s="42">
        <v>0</v>
      </c>
      <c r="Y432" s="42">
        <v>0</v>
      </c>
      <c r="Z432" s="42">
        <v>0</v>
      </c>
      <c r="AA432" s="6">
        <f t="shared" si="102"/>
        <v>1</v>
      </c>
      <c r="AB432" s="39">
        <v>2018</v>
      </c>
      <c r="AC432" s="9"/>
      <c r="AD432" s="91"/>
      <c r="AE432" s="91"/>
    </row>
    <row r="433" spans="1:31" ht="15.6" customHeight="1" x14ac:dyDescent="0.25">
      <c r="A433" s="50" t="s">
        <v>18</v>
      </c>
      <c r="B433" s="50" t="s">
        <v>18</v>
      </c>
      <c r="C433" s="50" t="s">
        <v>25</v>
      </c>
      <c r="D433" s="50" t="s">
        <v>18</v>
      </c>
      <c r="E433" s="50" t="s">
        <v>18</v>
      </c>
      <c r="F433" s="50" t="s">
        <v>18</v>
      </c>
      <c r="G433" s="50" t="s">
        <v>18</v>
      </c>
      <c r="H433" s="50" t="s">
        <v>19</v>
      </c>
      <c r="I433" s="50" t="s">
        <v>24</v>
      </c>
      <c r="J433" s="50" t="s">
        <v>18</v>
      </c>
      <c r="K433" s="50" t="s">
        <v>18</v>
      </c>
      <c r="L433" s="50" t="s">
        <v>20</v>
      </c>
      <c r="M433" s="50" t="s">
        <v>18</v>
      </c>
      <c r="N433" s="50" t="s">
        <v>18</v>
      </c>
      <c r="O433" s="50" t="s">
        <v>18</v>
      </c>
      <c r="P433" s="50" t="s">
        <v>18</v>
      </c>
      <c r="Q433" s="50" t="s">
        <v>18</v>
      </c>
      <c r="R433" s="164" t="s">
        <v>133</v>
      </c>
      <c r="S433" s="157" t="s">
        <v>0</v>
      </c>
      <c r="T433" s="55">
        <f>SUM(T434:T436)</f>
        <v>6913.9</v>
      </c>
      <c r="U433" s="55">
        <f>SUM(U434:U438)</f>
        <v>3765.5</v>
      </c>
      <c r="V433" s="55">
        <f>SUM(V434:V438)</f>
        <v>1745.5</v>
      </c>
      <c r="W433" s="55">
        <f>SUM(W434:W441)</f>
        <v>1838.6999999999998</v>
      </c>
      <c r="X433" s="55">
        <f>SUM(X434:X441)</f>
        <v>2718</v>
      </c>
      <c r="Y433" s="55">
        <v>0</v>
      </c>
      <c r="Z433" s="55">
        <v>0</v>
      </c>
      <c r="AA433" s="55">
        <f>SUM(T433:Z433)</f>
        <v>16981.599999999999</v>
      </c>
      <c r="AB433" s="54">
        <v>2022</v>
      </c>
      <c r="AC433" s="114"/>
      <c r="AD433" s="91"/>
      <c r="AE433" s="91"/>
    </row>
    <row r="434" spans="1:31" x14ac:dyDescent="0.25">
      <c r="A434" s="50" t="s">
        <v>18</v>
      </c>
      <c r="B434" s="50" t="s">
        <v>18</v>
      </c>
      <c r="C434" s="50" t="s">
        <v>25</v>
      </c>
      <c r="D434" s="50" t="s">
        <v>18</v>
      </c>
      <c r="E434" s="50" t="s">
        <v>18</v>
      </c>
      <c r="F434" s="50" t="s">
        <v>18</v>
      </c>
      <c r="G434" s="50" t="s">
        <v>18</v>
      </c>
      <c r="H434" s="50" t="s">
        <v>19</v>
      </c>
      <c r="I434" s="50" t="s">
        <v>24</v>
      </c>
      <c r="J434" s="50" t="s">
        <v>18</v>
      </c>
      <c r="K434" s="50" t="s">
        <v>18</v>
      </c>
      <c r="L434" s="50" t="s">
        <v>20</v>
      </c>
      <c r="M434" s="50" t="s">
        <v>19</v>
      </c>
      <c r="N434" s="50" t="s">
        <v>18</v>
      </c>
      <c r="O434" s="50" t="s">
        <v>24</v>
      </c>
      <c r="P434" s="50" t="s">
        <v>22</v>
      </c>
      <c r="Q434" s="50" t="s">
        <v>45</v>
      </c>
      <c r="R434" s="165"/>
      <c r="S434" s="158"/>
      <c r="T434" s="1">
        <v>2886.9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55">
        <f t="shared" ref="AA434:AA441" si="103">SUM(T434:Z434)</f>
        <v>2886.9</v>
      </c>
      <c r="AB434" s="54">
        <v>2018</v>
      </c>
      <c r="AC434" s="114"/>
      <c r="AD434" s="91"/>
      <c r="AE434" s="91"/>
    </row>
    <row r="435" spans="1:31" x14ac:dyDescent="0.25">
      <c r="A435" s="50" t="s">
        <v>18</v>
      </c>
      <c r="B435" s="50" t="s">
        <v>18</v>
      </c>
      <c r="C435" s="50" t="s">
        <v>25</v>
      </c>
      <c r="D435" s="50" t="s">
        <v>18</v>
      </c>
      <c r="E435" s="50" t="s">
        <v>18</v>
      </c>
      <c r="F435" s="50" t="s">
        <v>18</v>
      </c>
      <c r="G435" s="50" t="s">
        <v>18</v>
      </c>
      <c r="H435" s="50" t="s">
        <v>19</v>
      </c>
      <c r="I435" s="50" t="s">
        <v>24</v>
      </c>
      <c r="J435" s="50" t="s">
        <v>18</v>
      </c>
      <c r="K435" s="50" t="s">
        <v>18</v>
      </c>
      <c r="L435" s="50" t="s">
        <v>20</v>
      </c>
      <c r="M435" s="50" t="s">
        <v>37</v>
      </c>
      <c r="N435" s="50" t="s">
        <v>18</v>
      </c>
      <c r="O435" s="50" t="s">
        <v>24</v>
      </c>
      <c r="P435" s="50" t="s">
        <v>22</v>
      </c>
      <c r="Q435" s="50" t="s">
        <v>46</v>
      </c>
      <c r="R435" s="165"/>
      <c r="S435" s="158"/>
      <c r="T435" s="1">
        <v>1641.4</v>
      </c>
      <c r="U435" s="1">
        <v>868</v>
      </c>
      <c r="V435" s="1">
        <v>501.9</v>
      </c>
      <c r="W435" s="1">
        <v>0</v>
      </c>
      <c r="X435" s="1">
        <v>0</v>
      </c>
      <c r="Y435" s="1">
        <v>0</v>
      </c>
      <c r="Z435" s="1">
        <v>0</v>
      </c>
      <c r="AA435" s="55">
        <f t="shared" si="103"/>
        <v>3011.3</v>
      </c>
      <c r="AB435" s="54">
        <v>2020</v>
      </c>
      <c r="AC435" s="114"/>
      <c r="AD435" s="91"/>
      <c r="AE435" s="91"/>
    </row>
    <row r="436" spans="1:31" x14ac:dyDescent="0.25">
      <c r="A436" s="50" t="s">
        <v>18</v>
      </c>
      <c r="B436" s="50" t="s">
        <v>18</v>
      </c>
      <c r="C436" s="50" t="s">
        <v>25</v>
      </c>
      <c r="D436" s="50" t="s">
        <v>18</v>
      </c>
      <c r="E436" s="50" t="s">
        <v>18</v>
      </c>
      <c r="F436" s="50" t="s">
        <v>18</v>
      </c>
      <c r="G436" s="50" t="s">
        <v>18</v>
      </c>
      <c r="H436" s="50" t="s">
        <v>19</v>
      </c>
      <c r="I436" s="50" t="s">
        <v>24</v>
      </c>
      <c r="J436" s="50" t="s">
        <v>18</v>
      </c>
      <c r="K436" s="50" t="s">
        <v>18</v>
      </c>
      <c r="L436" s="50" t="s">
        <v>20</v>
      </c>
      <c r="M436" s="50" t="s">
        <v>37</v>
      </c>
      <c r="N436" s="50" t="s">
        <v>18</v>
      </c>
      <c r="O436" s="50" t="s">
        <v>24</v>
      </c>
      <c r="P436" s="50" t="s">
        <v>22</v>
      </c>
      <c r="Q436" s="50" t="s">
        <v>39</v>
      </c>
      <c r="R436" s="165"/>
      <c r="S436" s="158"/>
      <c r="T436" s="1">
        <v>2385.6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55">
        <f t="shared" si="103"/>
        <v>2385.6</v>
      </c>
      <c r="AB436" s="54">
        <v>2018</v>
      </c>
      <c r="AC436" s="114"/>
      <c r="AD436" s="91"/>
      <c r="AE436" s="91"/>
    </row>
    <row r="437" spans="1:31" x14ac:dyDescent="0.25">
      <c r="A437" s="50" t="s">
        <v>18</v>
      </c>
      <c r="B437" s="50" t="s">
        <v>18</v>
      </c>
      <c r="C437" s="50" t="s">
        <v>25</v>
      </c>
      <c r="D437" s="50" t="s">
        <v>18</v>
      </c>
      <c r="E437" s="50" t="s">
        <v>18</v>
      </c>
      <c r="F437" s="50" t="s">
        <v>18</v>
      </c>
      <c r="G437" s="50" t="s">
        <v>18</v>
      </c>
      <c r="H437" s="50" t="s">
        <v>19</v>
      </c>
      <c r="I437" s="50" t="s">
        <v>24</v>
      </c>
      <c r="J437" s="50" t="s">
        <v>18</v>
      </c>
      <c r="K437" s="50" t="s">
        <v>18</v>
      </c>
      <c r="L437" s="50" t="s">
        <v>20</v>
      </c>
      <c r="M437" s="50" t="s">
        <v>19</v>
      </c>
      <c r="N437" s="50" t="s">
        <v>18</v>
      </c>
      <c r="O437" s="50" t="s">
        <v>24</v>
      </c>
      <c r="P437" s="50" t="s">
        <v>22</v>
      </c>
      <c r="Q437" s="50" t="s">
        <v>18</v>
      </c>
      <c r="R437" s="165"/>
      <c r="S437" s="158"/>
      <c r="T437" s="1">
        <v>0</v>
      </c>
      <c r="U437" s="1">
        <f>1977-1.3</f>
        <v>1975.7</v>
      </c>
      <c r="V437" s="1">
        <f>968.2-585.9</f>
        <v>382.30000000000007</v>
      </c>
      <c r="W437" s="1">
        <v>0</v>
      </c>
      <c r="X437" s="1">
        <v>0</v>
      </c>
      <c r="Y437" s="1">
        <v>0</v>
      </c>
      <c r="Z437" s="1">
        <v>0</v>
      </c>
      <c r="AA437" s="55">
        <f t="shared" si="103"/>
        <v>2358</v>
      </c>
      <c r="AB437" s="54">
        <v>2020</v>
      </c>
      <c r="AC437" s="114"/>
      <c r="AD437" s="91"/>
      <c r="AE437" s="91"/>
    </row>
    <row r="438" spans="1:31" x14ac:dyDescent="0.25">
      <c r="A438" s="50" t="s">
        <v>18</v>
      </c>
      <c r="B438" s="50" t="s">
        <v>18</v>
      </c>
      <c r="C438" s="50" t="s">
        <v>25</v>
      </c>
      <c r="D438" s="50" t="s">
        <v>18</v>
      </c>
      <c r="E438" s="50" t="s">
        <v>18</v>
      </c>
      <c r="F438" s="50" t="s">
        <v>18</v>
      </c>
      <c r="G438" s="50" t="s">
        <v>18</v>
      </c>
      <c r="H438" s="50" t="s">
        <v>19</v>
      </c>
      <c r="I438" s="50" t="s">
        <v>24</v>
      </c>
      <c r="J438" s="50" t="s">
        <v>18</v>
      </c>
      <c r="K438" s="50" t="s">
        <v>18</v>
      </c>
      <c r="L438" s="50" t="s">
        <v>20</v>
      </c>
      <c r="M438" s="50" t="s">
        <v>37</v>
      </c>
      <c r="N438" s="50" t="s">
        <v>18</v>
      </c>
      <c r="O438" s="50" t="s">
        <v>24</v>
      </c>
      <c r="P438" s="50" t="s">
        <v>22</v>
      </c>
      <c r="Q438" s="50" t="s">
        <v>18</v>
      </c>
      <c r="R438" s="165"/>
      <c r="S438" s="158"/>
      <c r="T438" s="1">
        <v>0</v>
      </c>
      <c r="U438" s="1">
        <f>1119.1-197.3</f>
        <v>921.8</v>
      </c>
      <c r="V438" s="1">
        <f>466.5+457.8-63</f>
        <v>861.3</v>
      </c>
      <c r="W438" s="1">
        <v>0</v>
      </c>
      <c r="X438" s="1">
        <v>0</v>
      </c>
      <c r="Y438" s="1">
        <v>0</v>
      </c>
      <c r="Z438" s="1">
        <v>0</v>
      </c>
      <c r="AA438" s="55">
        <f t="shared" si="103"/>
        <v>1783.1</v>
      </c>
      <c r="AB438" s="54">
        <v>2020</v>
      </c>
      <c r="AC438" s="114"/>
      <c r="AD438" s="91"/>
      <c r="AE438" s="91"/>
    </row>
    <row r="439" spans="1:31" x14ac:dyDescent="0.25">
      <c r="A439" s="50" t="s">
        <v>18</v>
      </c>
      <c r="B439" s="50" t="s">
        <v>18</v>
      </c>
      <c r="C439" s="50" t="s">
        <v>25</v>
      </c>
      <c r="D439" s="50" t="s">
        <v>18</v>
      </c>
      <c r="E439" s="50" t="s">
        <v>18</v>
      </c>
      <c r="F439" s="50" t="s">
        <v>18</v>
      </c>
      <c r="G439" s="50" t="s">
        <v>18</v>
      </c>
      <c r="H439" s="50" t="s">
        <v>19</v>
      </c>
      <c r="I439" s="50" t="s">
        <v>24</v>
      </c>
      <c r="J439" s="50" t="s">
        <v>18</v>
      </c>
      <c r="K439" s="50" t="s">
        <v>18</v>
      </c>
      <c r="L439" s="50" t="s">
        <v>20</v>
      </c>
      <c r="M439" s="50" t="s">
        <v>37</v>
      </c>
      <c r="N439" s="50" t="s">
        <v>43</v>
      </c>
      <c r="O439" s="50" t="s">
        <v>18</v>
      </c>
      <c r="P439" s="50" t="s">
        <v>18</v>
      </c>
      <c r="Q439" s="50" t="s">
        <v>18</v>
      </c>
      <c r="R439" s="165"/>
      <c r="S439" s="158"/>
      <c r="T439" s="1">
        <v>0</v>
      </c>
      <c r="U439" s="1">
        <v>0</v>
      </c>
      <c r="V439" s="1">
        <v>0</v>
      </c>
      <c r="W439" s="1">
        <v>534.9</v>
      </c>
      <c r="X439" s="1">
        <v>723.3</v>
      </c>
      <c r="Y439" s="1">
        <v>0</v>
      </c>
      <c r="Z439" s="1">
        <v>0</v>
      </c>
      <c r="AA439" s="55">
        <f t="shared" si="103"/>
        <v>1258.1999999999998</v>
      </c>
      <c r="AB439" s="54">
        <v>2022</v>
      </c>
      <c r="AC439" s="114"/>
      <c r="AD439" s="91"/>
      <c r="AE439" s="91"/>
    </row>
    <row r="440" spans="1:31" x14ac:dyDescent="0.25">
      <c r="A440" s="50" t="s">
        <v>18</v>
      </c>
      <c r="B440" s="50" t="s">
        <v>18</v>
      </c>
      <c r="C440" s="50" t="s">
        <v>25</v>
      </c>
      <c r="D440" s="50" t="s">
        <v>18</v>
      </c>
      <c r="E440" s="50" t="s">
        <v>18</v>
      </c>
      <c r="F440" s="50" t="s">
        <v>18</v>
      </c>
      <c r="G440" s="50" t="s">
        <v>18</v>
      </c>
      <c r="H440" s="50" t="s">
        <v>19</v>
      </c>
      <c r="I440" s="50" t="s">
        <v>24</v>
      </c>
      <c r="J440" s="50" t="s">
        <v>18</v>
      </c>
      <c r="K440" s="50" t="s">
        <v>18</v>
      </c>
      <c r="L440" s="50" t="s">
        <v>20</v>
      </c>
      <c r="M440" s="50" t="s">
        <v>19</v>
      </c>
      <c r="N440" s="50" t="s">
        <v>43</v>
      </c>
      <c r="O440" s="50" t="s">
        <v>18</v>
      </c>
      <c r="P440" s="50" t="s">
        <v>18</v>
      </c>
      <c r="Q440" s="50" t="s">
        <v>18</v>
      </c>
      <c r="R440" s="165"/>
      <c r="S440" s="158"/>
      <c r="T440" s="1">
        <v>0</v>
      </c>
      <c r="U440" s="1">
        <v>0</v>
      </c>
      <c r="V440" s="1">
        <v>0</v>
      </c>
      <c r="W440" s="1">
        <v>904.4</v>
      </c>
      <c r="X440" s="1">
        <v>1358.9</v>
      </c>
      <c r="Y440" s="1">
        <v>0</v>
      </c>
      <c r="Z440" s="1">
        <v>0</v>
      </c>
      <c r="AA440" s="55">
        <f t="shared" si="103"/>
        <v>2263.3000000000002</v>
      </c>
      <c r="AB440" s="54">
        <v>2022</v>
      </c>
      <c r="AC440" s="114"/>
      <c r="AD440" s="91"/>
      <c r="AE440" s="91"/>
    </row>
    <row r="441" spans="1:31" x14ac:dyDescent="0.25">
      <c r="A441" s="50" t="s">
        <v>18</v>
      </c>
      <c r="B441" s="50" t="s">
        <v>18</v>
      </c>
      <c r="C441" s="50" t="s">
        <v>25</v>
      </c>
      <c r="D441" s="50" t="s">
        <v>18</v>
      </c>
      <c r="E441" s="50" t="s">
        <v>18</v>
      </c>
      <c r="F441" s="50" t="s">
        <v>18</v>
      </c>
      <c r="G441" s="50" t="s">
        <v>18</v>
      </c>
      <c r="H441" s="50" t="s">
        <v>19</v>
      </c>
      <c r="I441" s="50" t="s">
        <v>24</v>
      </c>
      <c r="J441" s="50" t="s">
        <v>18</v>
      </c>
      <c r="K441" s="50" t="s">
        <v>18</v>
      </c>
      <c r="L441" s="50" t="s">
        <v>20</v>
      </c>
      <c r="M441" s="50" t="s">
        <v>37</v>
      </c>
      <c r="N441" s="50" t="s">
        <v>43</v>
      </c>
      <c r="O441" s="50" t="s">
        <v>46</v>
      </c>
      <c r="P441" s="50" t="s">
        <v>18</v>
      </c>
      <c r="Q441" s="50" t="s">
        <v>18</v>
      </c>
      <c r="R441" s="166"/>
      <c r="S441" s="159"/>
      <c r="T441" s="1">
        <v>0</v>
      </c>
      <c r="U441" s="1">
        <v>0</v>
      </c>
      <c r="V441" s="1">
        <v>0</v>
      </c>
      <c r="W441" s="1">
        <v>399.4</v>
      </c>
      <c r="X441" s="1">
        <v>635.79999999999995</v>
      </c>
      <c r="Y441" s="1">
        <v>0</v>
      </c>
      <c r="Z441" s="1">
        <v>0</v>
      </c>
      <c r="AA441" s="55">
        <f t="shared" si="103"/>
        <v>1035.1999999999998</v>
      </c>
      <c r="AB441" s="54">
        <v>2022</v>
      </c>
      <c r="AC441" s="114"/>
      <c r="AD441" s="91"/>
      <c r="AE441" s="91"/>
    </row>
    <row r="442" spans="1:31" ht="32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71" t="s">
        <v>283</v>
      </c>
      <c r="S442" s="57" t="s">
        <v>52</v>
      </c>
      <c r="T442" s="3">
        <v>1.5</v>
      </c>
      <c r="U442" s="3">
        <v>0.8</v>
      </c>
      <c r="V442" s="3">
        <v>0.6</v>
      </c>
      <c r="W442" s="3">
        <v>0.4</v>
      </c>
      <c r="X442" s="3">
        <v>0.8</v>
      </c>
      <c r="Y442" s="3">
        <v>0</v>
      </c>
      <c r="Z442" s="3">
        <v>0</v>
      </c>
      <c r="AA442" s="6">
        <f t="shared" ref="AA442:AA444" si="104">SUM(T442:Y442)</f>
        <v>4.0999999999999996</v>
      </c>
      <c r="AB442" s="39">
        <v>2022</v>
      </c>
      <c r="AC442" s="118"/>
      <c r="AD442" s="91"/>
      <c r="AE442" s="91"/>
    </row>
    <row r="443" spans="1:31" ht="46.9" hidden="1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71" t="s">
        <v>174</v>
      </c>
      <c r="S443" s="75" t="s">
        <v>173</v>
      </c>
      <c r="T443" s="3"/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6">
        <f t="shared" si="104"/>
        <v>0</v>
      </c>
      <c r="AB443" s="39">
        <v>2018</v>
      </c>
      <c r="AC443" s="118"/>
      <c r="AD443" s="91"/>
      <c r="AE443" s="91"/>
    </row>
    <row r="444" spans="1:31" ht="32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71" t="s">
        <v>284</v>
      </c>
      <c r="S444" s="75" t="s">
        <v>50</v>
      </c>
      <c r="T444" s="42">
        <v>10</v>
      </c>
      <c r="U444" s="42">
        <v>5</v>
      </c>
      <c r="V444" s="42">
        <v>2</v>
      </c>
      <c r="W444" s="42">
        <v>2</v>
      </c>
      <c r="X444" s="42">
        <v>2</v>
      </c>
      <c r="Y444" s="42">
        <v>0</v>
      </c>
      <c r="Z444" s="42">
        <v>0</v>
      </c>
      <c r="AA444" s="45">
        <f t="shared" si="104"/>
        <v>21</v>
      </c>
      <c r="AB444" s="39">
        <v>2022</v>
      </c>
      <c r="AC444" s="118"/>
      <c r="AD444" s="91"/>
      <c r="AE444" s="91"/>
    </row>
    <row r="445" spans="1:31" ht="31.5" x14ac:dyDescent="0.25">
      <c r="A445" s="50" t="s">
        <v>18</v>
      </c>
      <c r="B445" s="50" t="s">
        <v>19</v>
      </c>
      <c r="C445" s="50" t="s">
        <v>20</v>
      </c>
      <c r="D445" s="50" t="s">
        <v>18</v>
      </c>
      <c r="E445" s="50" t="s">
        <v>24</v>
      </c>
      <c r="F445" s="50" t="s">
        <v>18</v>
      </c>
      <c r="G445" s="50" t="s">
        <v>43</v>
      </c>
      <c r="H445" s="50" t="s">
        <v>19</v>
      </c>
      <c r="I445" s="50" t="s">
        <v>24</v>
      </c>
      <c r="J445" s="50" t="s">
        <v>18</v>
      </c>
      <c r="K445" s="50" t="s">
        <v>18</v>
      </c>
      <c r="L445" s="50" t="s">
        <v>20</v>
      </c>
      <c r="M445" s="50" t="s">
        <v>37</v>
      </c>
      <c r="N445" s="50" t="s">
        <v>43</v>
      </c>
      <c r="O445" s="50" t="s">
        <v>18</v>
      </c>
      <c r="P445" s="50" t="s">
        <v>18</v>
      </c>
      <c r="Q445" s="50" t="s">
        <v>18</v>
      </c>
      <c r="R445" s="68" t="s">
        <v>133</v>
      </c>
      <c r="S445" s="51" t="s">
        <v>0</v>
      </c>
      <c r="T445" s="1">
        <f>10000-9745-255</f>
        <v>0</v>
      </c>
      <c r="U445" s="1">
        <f>226.8-200-26.8</f>
        <v>0</v>
      </c>
      <c r="V445" s="1">
        <f>8228.3-8228.3</f>
        <v>0</v>
      </c>
      <c r="W445" s="1">
        <v>0</v>
      </c>
      <c r="X445" s="1">
        <f t="shared" ref="X445" si="105">8228.3-8228.3</f>
        <v>0</v>
      </c>
      <c r="Y445" s="1">
        <v>8000</v>
      </c>
      <c r="Z445" s="1">
        <v>10000</v>
      </c>
      <c r="AA445" s="55">
        <f t="shared" ref="AA445:AA480" si="106">SUM(T445:Z445)</f>
        <v>18000</v>
      </c>
      <c r="AB445" s="54">
        <v>2024</v>
      </c>
      <c r="AC445" s="108"/>
      <c r="AD445" s="91"/>
      <c r="AE445" s="91"/>
    </row>
    <row r="446" spans="1:31" ht="47.25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69" t="s">
        <v>285</v>
      </c>
      <c r="S446" s="57" t="s">
        <v>52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8</v>
      </c>
      <c r="Z446" s="3">
        <v>10</v>
      </c>
      <c r="AA446" s="6">
        <f t="shared" si="106"/>
        <v>18</v>
      </c>
      <c r="AB446" s="39">
        <v>2024</v>
      </c>
      <c r="AC446" s="118"/>
      <c r="AD446" s="91"/>
      <c r="AE446" s="91"/>
    </row>
    <row r="447" spans="1:31" ht="47.25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69" t="s">
        <v>286</v>
      </c>
      <c r="S447" s="57" t="s">
        <v>38</v>
      </c>
      <c r="T447" s="42">
        <v>0</v>
      </c>
      <c r="U447" s="42">
        <v>0</v>
      </c>
      <c r="V447" s="42">
        <v>0</v>
      </c>
      <c r="W447" s="42">
        <v>0</v>
      </c>
      <c r="X447" s="42">
        <v>0</v>
      </c>
      <c r="Y447" s="42">
        <v>8</v>
      </c>
      <c r="Z447" s="42">
        <v>10</v>
      </c>
      <c r="AA447" s="45">
        <f t="shared" si="106"/>
        <v>18</v>
      </c>
      <c r="AB447" s="39">
        <v>2024</v>
      </c>
      <c r="AC447" s="118"/>
      <c r="AD447" s="91"/>
      <c r="AE447" s="91"/>
    </row>
    <row r="448" spans="1:31" s="47" customFormat="1" x14ac:dyDescent="0.25">
      <c r="A448" s="50" t="s">
        <v>18</v>
      </c>
      <c r="B448" s="50" t="s">
        <v>24</v>
      </c>
      <c r="C448" s="50" t="s">
        <v>22</v>
      </c>
      <c r="D448" s="50" t="s">
        <v>18</v>
      </c>
      <c r="E448" s="50" t="s">
        <v>21</v>
      </c>
      <c r="F448" s="50" t="s">
        <v>18</v>
      </c>
      <c r="G448" s="50" t="s">
        <v>22</v>
      </c>
      <c r="H448" s="50" t="s">
        <v>19</v>
      </c>
      <c r="I448" s="50" t="s">
        <v>24</v>
      </c>
      <c r="J448" s="50" t="s">
        <v>18</v>
      </c>
      <c r="K448" s="50" t="s">
        <v>235</v>
      </c>
      <c r="L448" s="50" t="s">
        <v>20</v>
      </c>
      <c r="M448" s="50" t="s">
        <v>18</v>
      </c>
      <c r="N448" s="50" t="s">
        <v>18</v>
      </c>
      <c r="O448" s="50" t="s">
        <v>18</v>
      </c>
      <c r="P448" s="50" t="s">
        <v>18</v>
      </c>
      <c r="Q448" s="50" t="s">
        <v>18</v>
      </c>
      <c r="R448" s="164" t="s">
        <v>297</v>
      </c>
      <c r="S448" s="160" t="s">
        <v>0</v>
      </c>
      <c r="T448" s="55">
        <v>0</v>
      </c>
      <c r="U448" s="55">
        <f>2801.1-100-2701.1</f>
        <v>0</v>
      </c>
      <c r="V448" s="55">
        <f>2801.1-2801.1</f>
        <v>0</v>
      </c>
      <c r="W448" s="55">
        <f>SUM(W449:W450)</f>
        <v>15653.2</v>
      </c>
      <c r="X448" s="55">
        <f t="shared" ref="X448:Z448" si="107">SUM(X449:X450)</f>
        <v>11444.1</v>
      </c>
      <c r="Y448" s="55">
        <f t="shared" si="107"/>
        <v>0</v>
      </c>
      <c r="Z448" s="55">
        <f t="shared" si="107"/>
        <v>5000</v>
      </c>
      <c r="AA448" s="55">
        <f t="shared" ref="AA448:AA452" si="108">SUM(T448:Z448)</f>
        <v>32097.300000000003</v>
      </c>
      <c r="AB448" s="54">
        <v>2024</v>
      </c>
      <c r="AC448" s="33"/>
      <c r="AD448" s="46"/>
    </row>
    <row r="449" spans="1:30" s="47" customFormat="1" x14ac:dyDescent="0.25">
      <c r="A449" s="50" t="s">
        <v>18</v>
      </c>
      <c r="B449" s="50" t="s">
        <v>24</v>
      </c>
      <c r="C449" s="50" t="s">
        <v>22</v>
      </c>
      <c r="D449" s="50" t="s">
        <v>18</v>
      </c>
      <c r="E449" s="50" t="s">
        <v>21</v>
      </c>
      <c r="F449" s="50" t="s">
        <v>18</v>
      </c>
      <c r="G449" s="50" t="s">
        <v>22</v>
      </c>
      <c r="H449" s="50" t="s">
        <v>19</v>
      </c>
      <c r="I449" s="50" t="s">
        <v>24</v>
      </c>
      <c r="J449" s="50" t="s">
        <v>18</v>
      </c>
      <c r="K449" s="50" t="s">
        <v>235</v>
      </c>
      <c r="L449" s="50" t="s">
        <v>20</v>
      </c>
      <c r="M449" s="50" t="s">
        <v>21</v>
      </c>
      <c r="N449" s="50" t="s">
        <v>21</v>
      </c>
      <c r="O449" s="50" t="s">
        <v>21</v>
      </c>
      <c r="P449" s="50" t="s">
        <v>21</v>
      </c>
      <c r="Q449" s="50" t="s">
        <v>20</v>
      </c>
      <c r="R449" s="165"/>
      <c r="S449" s="161"/>
      <c r="T449" s="1">
        <v>0</v>
      </c>
      <c r="U449" s="1">
        <f t="shared" ref="U449:U450" si="109">2801.1-100-2701.1</f>
        <v>0</v>
      </c>
      <c r="V449" s="1">
        <f t="shared" ref="V449:V450" si="110">2801.1-2801.1</f>
        <v>0</v>
      </c>
      <c r="W449" s="1">
        <f>15752-435.9</f>
        <v>15316.1</v>
      </c>
      <c r="X449" s="1">
        <f>11439.8+115.6-111.3</f>
        <v>11444.1</v>
      </c>
      <c r="Y449" s="1">
        <v>0</v>
      </c>
      <c r="Z449" s="1">
        <v>5000</v>
      </c>
      <c r="AA449" s="55">
        <f t="shared" si="108"/>
        <v>31760.2</v>
      </c>
      <c r="AB449" s="54">
        <v>2024</v>
      </c>
      <c r="AC449" s="33"/>
      <c r="AD449" s="46"/>
    </row>
    <row r="450" spans="1:30" s="47" customFormat="1" x14ac:dyDescent="0.25">
      <c r="A450" s="50" t="s">
        <v>18</v>
      </c>
      <c r="B450" s="50" t="s">
        <v>24</v>
      </c>
      <c r="C450" s="50" t="s">
        <v>22</v>
      </c>
      <c r="D450" s="50" t="s">
        <v>18</v>
      </c>
      <c r="E450" s="50" t="s">
        <v>21</v>
      </c>
      <c r="F450" s="50" t="s">
        <v>18</v>
      </c>
      <c r="G450" s="50" t="s">
        <v>22</v>
      </c>
      <c r="H450" s="50" t="s">
        <v>19</v>
      </c>
      <c r="I450" s="50" t="s">
        <v>24</v>
      </c>
      <c r="J450" s="50" t="s">
        <v>18</v>
      </c>
      <c r="K450" s="50" t="s">
        <v>235</v>
      </c>
      <c r="L450" s="50" t="s">
        <v>20</v>
      </c>
      <c r="M450" s="50" t="s">
        <v>18</v>
      </c>
      <c r="N450" s="50" t="s">
        <v>18</v>
      </c>
      <c r="O450" s="50" t="s">
        <v>21</v>
      </c>
      <c r="P450" s="50" t="s">
        <v>21</v>
      </c>
      <c r="Q450" s="50" t="s">
        <v>20</v>
      </c>
      <c r="R450" s="166"/>
      <c r="S450" s="162"/>
      <c r="T450" s="1">
        <v>0</v>
      </c>
      <c r="U450" s="1">
        <f t="shared" si="109"/>
        <v>0</v>
      </c>
      <c r="V450" s="1">
        <f t="shared" si="110"/>
        <v>0</v>
      </c>
      <c r="W450" s="1">
        <v>337.1</v>
      </c>
      <c r="X450" s="1">
        <f>247.3-247.3</f>
        <v>0</v>
      </c>
      <c r="Y450" s="1">
        <v>0</v>
      </c>
      <c r="Z450" s="1">
        <v>0</v>
      </c>
      <c r="AA450" s="55">
        <f t="shared" si="108"/>
        <v>337.1</v>
      </c>
      <c r="AB450" s="54">
        <v>2024</v>
      </c>
      <c r="AC450" s="33"/>
      <c r="AD450" s="46"/>
    </row>
    <row r="451" spans="1:30" s="47" customFormat="1" ht="31.5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69" t="s">
        <v>229</v>
      </c>
      <c r="S451" s="48" t="s">
        <v>38</v>
      </c>
      <c r="T451" s="42">
        <v>0</v>
      </c>
      <c r="U451" s="42">
        <v>0</v>
      </c>
      <c r="V451" s="42">
        <v>0</v>
      </c>
      <c r="W451" s="42">
        <v>2</v>
      </c>
      <c r="X451" s="42">
        <v>1</v>
      </c>
      <c r="Y451" s="42">
        <v>0</v>
      </c>
      <c r="Z451" s="42">
        <v>2</v>
      </c>
      <c r="AA451" s="45">
        <f>SUM(T451:Z451)</f>
        <v>5</v>
      </c>
      <c r="AB451" s="139">
        <v>2024</v>
      </c>
      <c r="AC451" s="33"/>
      <c r="AD451" s="46"/>
    </row>
    <row r="452" spans="1:30" s="8" customFormat="1" ht="31.5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71" t="s">
        <v>230</v>
      </c>
      <c r="S452" s="57" t="s">
        <v>52</v>
      </c>
      <c r="T452" s="3">
        <v>0</v>
      </c>
      <c r="U452" s="3">
        <v>0</v>
      </c>
      <c r="V452" s="3">
        <v>0</v>
      </c>
      <c r="W452" s="3">
        <v>6.4</v>
      </c>
      <c r="X452" s="3">
        <v>3.7</v>
      </c>
      <c r="Y452" s="3">
        <v>0</v>
      </c>
      <c r="Z452" s="3">
        <v>5</v>
      </c>
      <c r="AA452" s="49">
        <f t="shared" si="108"/>
        <v>15.100000000000001</v>
      </c>
      <c r="AB452" s="139">
        <v>2024</v>
      </c>
      <c r="AC452" s="33"/>
      <c r="AD452" s="56"/>
    </row>
    <row r="453" spans="1:30" s="47" customFormat="1" ht="47.25" hidden="1" x14ac:dyDescent="0.25">
      <c r="A453" s="50" t="s">
        <v>18</v>
      </c>
      <c r="B453" s="50" t="s">
        <v>18</v>
      </c>
      <c r="C453" s="50" t="s">
        <v>22</v>
      </c>
      <c r="D453" s="50" t="s">
        <v>18</v>
      </c>
      <c r="E453" s="50" t="s">
        <v>21</v>
      </c>
      <c r="F453" s="50" t="s">
        <v>18</v>
      </c>
      <c r="G453" s="50" t="s">
        <v>22</v>
      </c>
      <c r="H453" s="50" t="s">
        <v>19</v>
      </c>
      <c r="I453" s="50" t="s">
        <v>24</v>
      </c>
      <c r="J453" s="50" t="s">
        <v>18</v>
      </c>
      <c r="K453" s="50" t="s">
        <v>235</v>
      </c>
      <c r="L453" s="50" t="s">
        <v>20</v>
      </c>
      <c r="M453" s="50" t="s">
        <v>21</v>
      </c>
      <c r="N453" s="50" t="s">
        <v>21</v>
      </c>
      <c r="O453" s="50" t="s">
        <v>21</v>
      </c>
      <c r="P453" s="50" t="s">
        <v>21</v>
      </c>
      <c r="Q453" s="50" t="s">
        <v>20</v>
      </c>
      <c r="R453" s="147" t="s">
        <v>297</v>
      </c>
      <c r="S453" s="51" t="s">
        <v>0</v>
      </c>
      <c r="T453" s="1">
        <v>0</v>
      </c>
      <c r="U453" s="1">
        <f>3100.4-200-2900.4</f>
        <v>0</v>
      </c>
      <c r="V453" s="1">
        <f>2000.4-2000.4</f>
        <v>0</v>
      </c>
      <c r="W453" s="1">
        <v>0</v>
      </c>
      <c r="X453" s="1">
        <f>3100.4-200-2900.4</f>
        <v>0</v>
      </c>
      <c r="Y453" s="1">
        <f>2000.4-2000.4</f>
        <v>0</v>
      </c>
      <c r="Z453" s="1">
        <v>0</v>
      </c>
      <c r="AA453" s="55">
        <f t="shared" si="106"/>
        <v>0</v>
      </c>
      <c r="AB453" s="54">
        <v>2024</v>
      </c>
      <c r="AC453" s="33"/>
      <c r="AD453" s="46"/>
    </row>
    <row r="454" spans="1:30" s="47" customFormat="1" ht="47.25" hidden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69" t="s">
        <v>126</v>
      </c>
      <c r="S454" s="48" t="s">
        <v>38</v>
      </c>
      <c r="T454" s="42">
        <v>0</v>
      </c>
      <c r="U454" s="42">
        <v>0</v>
      </c>
      <c r="V454" s="42">
        <f>12-12</f>
        <v>0</v>
      </c>
      <c r="W454" s="42">
        <v>0</v>
      </c>
      <c r="X454" s="42">
        <v>0</v>
      </c>
      <c r="Y454" s="42">
        <f>12-12</f>
        <v>0</v>
      </c>
      <c r="Z454" s="42">
        <v>0</v>
      </c>
      <c r="AA454" s="45">
        <f t="shared" si="106"/>
        <v>0</v>
      </c>
      <c r="AB454" s="139">
        <v>2024</v>
      </c>
      <c r="AC454" s="33"/>
      <c r="AD454" s="46"/>
    </row>
    <row r="455" spans="1:30" s="47" customFormat="1" ht="47.25" hidden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69" t="s">
        <v>127</v>
      </c>
      <c r="S455" s="48" t="s">
        <v>52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49">
        <f t="shared" si="106"/>
        <v>0</v>
      </c>
      <c r="AB455" s="139">
        <v>2024</v>
      </c>
      <c r="AC455" s="33"/>
      <c r="AD455" s="46"/>
    </row>
    <row r="456" spans="1:30" s="47" customFormat="1" ht="47.25" hidden="1" x14ac:dyDescent="0.25">
      <c r="A456" s="50" t="s">
        <v>18</v>
      </c>
      <c r="B456" s="50" t="s">
        <v>18</v>
      </c>
      <c r="C456" s="50" t="s">
        <v>24</v>
      </c>
      <c r="D456" s="50" t="s">
        <v>18</v>
      </c>
      <c r="E456" s="50" t="s">
        <v>21</v>
      </c>
      <c r="F456" s="50" t="s">
        <v>18</v>
      </c>
      <c r="G456" s="50" t="s">
        <v>22</v>
      </c>
      <c r="H456" s="50" t="s">
        <v>19</v>
      </c>
      <c r="I456" s="50" t="s">
        <v>24</v>
      </c>
      <c r="J456" s="50" t="s">
        <v>18</v>
      </c>
      <c r="K456" s="50" t="s">
        <v>235</v>
      </c>
      <c r="L456" s="50" t="s">
        <v>20</v>
      </c>
      <c r="M456" s="50" t="s">
        <v>21</v>
      </c>
      <c r="N456" s="50" t="s">
        <v>21</v>
      </c>
      <c r="O456" s="50" t="s">
        <v>21</v>
      </c>
      <c r="P456" s="50" t="s">
        <v>21</v>
      </c>
      <c r="Q456" s="50" t="s">
        <v>20</v>
      </c>
      <c r="R456" s="147" t="s">
        <v>297</v>
      </c>
      <c r="S456" s="51" t="s">
        <v>0</v>
      </c>
      <c r="T456" s="1">
        <v>0</v>
      </c>
      <c r="U456" s="1">
        <f>2000-100-1900</f>
        <v>0</v>
      </c>
      <c r="V456" s="1">
        <f>2000-2000</f>
        <v>0</v>
      </c>
      <c r="W456" s="1">
        <v>0</v>
      </c>
      <c r="X456" s="1">
        <f>2000-100-1900</f>
        <v>0</v>
      </c>
      <c r="Y456" s="1">
        <f>2000-2000</f>
        <v>0</v>
      </c>
      <c r="Z456" s="1">
        <v>0</v>
      </c>
      <c r="AA456" s="55">
        <f t="shared" si="106"/>
        <v>0</v>
      </c>
      <c r="AB456" s="54">
        <v>2024</v>
      </c>
      <c r="AC456" s="33"/>
      <c r="AD456" s="46"/>
    </row>
    <row r="457" spans="1:30" s="47" customFormat="1" ht="47.25" hidden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69" t="s">
        <v>243</v>
      </c>
      <c r="S457" s="48" t="s">
        <v>38</v>
      </c>
      <c r="T457" s="42">
        <v>0</v>
      </c>
      <c r="U457" s="42">
        <v>0</v>
      </c>
      <c r="V457" s="42">
        <v>0</v>
      </c>
      <c r="W457" s="42">
        <v>0</v>
      </c>
      <c r="X457" s="42">
        <v>0</v>
      </c>
      <c r="Y457" s="42">
        <v>0</v>
      </c>
      <c r="Z457" s="42">
        <v>0</v>
      </c>
      <c r="AA457" s="45">
        <f t="shared" si="106"/>
        <v>0</v>
      </c>
      <c r="AB457" s="139">
        <v>2024</v>
      </c>
      <c r="AC457" s="33"/>
      <c r="AD457" s="46"/>
    </row>
    <row r="458" spans="1:30" s="47" customFormat="1" ht="47.25" hidden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69" t="s">
        <v>244</v>
      </c>
      <c r="S458" s="48" t="s">
        <v>52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49">
        <f t="shared" si="106"/>
        <v>0</v>
      </c>
      <c r="AB458" s="139">
        <v>2024</v>
      </c>
      <c r="AC458" s="111"/>
      <c r="AD458" s="103"/>
    </row>
    <row r="459" spans="1:30" s="47" customFormat="1" ht="47.25" hidden="1" x14ac:dyDescent="0.25">
      <c r="A459" s="50" t="s">
        <v>18</v>
      </c>
      <c r="B459" s="50" t="s">
        <v>18</v>
      </c>
      <c r="C459" s="50" t="s">
        <v>21</v>
      </c>
      <c r="D459" s="50" t="s">
        <v>18</v>
      </c>
      <c r="E459" s="50" t="s">
        <v>21</v>
      </c>
      <c r="F459" s="50" t="s">
        <v>18</v>
      </c>
      <c r="G459" s="50" t="s">
        <v>22</v>
      </c>
      <c r="H459" s="50" t="s">
        <v>19</v>
      </c>
      <c r="I459" s="50" t="s">
        <v>24</v>
      </c>
      <c r="J459" s="50" t="s">
        <v>18</v>
      </c>
      <c r="K459" s="50" t="s">
        <v>235</v>
      </c>
      <c r="L459" s="50" t="s">
        <v>20</v>
      </c>
      <c r="M459" s="50" t="s">
        <v>21</v>
      </c>
      <c r="N459" s="50" t="s">
        <v>21</v>
      </c>
      <c r="O459" s="50" t="s">
        <v>21</v>
      </c>
      <c r="P459" s="50" t="s">
        <v>21</v>
      </c>
      <c r="Q459" s="50" t="s">
        <v>20</v>
      </c>
      <c r="R459" s="147" t="s">
        <v>298</v>
      </c>
      <c r="S459" s="51" t="s">
        <v>0</v>
      </c>
      <c r="T459" s="1">
        <v>0</v>
      </c>
      <c r="U459" s="1">
        <f>2860.5-100-2760.5</f>
        <v>0</v>
      </c>
      <c r="V459" s="1">
        <f>2860.6-2860.6</f>
        <v>0</v>
      </c>
      <c r="W459" s="1">
        <v>0</v>
      </c>
      <c r="X459" s="1">
        <f>2860.5-100-2760.5</f>
        <v>0</v>
      </c>
      <c r="Y459" s="1">
        <f>2860.6-2860.6</f>
        <v>0</v>
      </c>
      <c r="Z459" s="1">
        <v>0</v>
      </c>
      <c r="AA459" s="55">
        <f t="shared" si="106"/>
        <v>0</v>
      </c>
      <c r="AB459" s="54">
        <v>2024</v>
      </c>
      <c r="AC459" s="33"/>
      <c r="AD459" s="46"/>
    </row>
    <row r="460" spans="1:30" s="47" customFormat="1" ht="47.25" hidden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69" t="s">
        <v>245</v>
      </c>
      <c r="S460" s="48" t="s">
        <v>38</v>
      </c>
      <c r="T460" s="42">
        <v>0</v>
      </c>
      <c r="U460" s="42">
        <v>0</v>
      </c>
      <c r="V460" s="42">
        <v>0</v>
      </c>
      <c r="W460" s="42">
        <v>0</v>
      </c>
      <c r="X460" s="42">
        <v>0</v>
      </c>
      <c r="Y460" s="42">
        <v>0</v>
      </c>
      <c r="Z460" s="42">
        <v>0</v>
      </c>
      <c r="AA460" s="45">
        <f t="shared" si="106"/>
        <v>0</v>
      </c>
      <c r="AB460" s="139">
        <v>2024</v>
      </c>
      <c r="AC460" s="33"/>
      <c r="AD460" s="46"/>
    </row>
    <row r="461" spans="1:30" s="47" customFormat="1" ht="47.25" hidden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69" t="s">
        <v>246</v>
      </c>
      <c r="S461" s="48" t="s">
        <v>52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49">
        <f t="shared" si="106"/>
        <v>0</v>
      </c>
      <c r="AB461" s="139">
        <v>2024</v>
      </c>
      <c r="AC461" s="33"/>
      <c r="AD461" s="46"/>
    </row>
    <row r="462" spans="1:30" s="47" customFormat="1" ht="47.25" hidden="1" x14ac:dyDescent="0.25">
      <c r="A462" s="50" t="s">
        <v>18</v>
      </c>
      <c r="B462" s="50" t="s">
        <v>18</v>
      </c>
      <c r="C462" s="50" t="s">
        <v>25</v>
      </c>
      <c r="D462" s="50" t="s">
        <v>18</v>
      </c>
      <c r="E462" s="50" t="s">
        <v>21</v>
      </c>
      <c r="F462" s="50" t="s">
        <v>18</v>
      </c>
      <c r="G462" s="50" t="s">
        <v>22</v>
      </c>
      <c r="H462" s="50" t="s">
        <v>19</v>
      </c>
      <c r="I462" s="50" t="s">
        <v>24</v>
      </c>
      <c r="J462" s="50" t="s">
        <v>18</v>
      </c>
      <c r="K462" s="50" t="s">
        <v>235</v>
      </c>
      <c r="L462" s="50" t="s">
        <v>20</v>
      </c>
      <c r="M462" s="50" t="s">
        <v>21</v>
      </c>
      <c r="N462" s="50" t="s">
        <v>21</v>
      </c>
      <c r="O462" s="50" t="s">
        <v>21</v>
      </c>
      <c r="P462" s="50" t="s">
        <v>21</v>
      </c>
      <c r="Q462" s="50" t="s">
        <v>20</v>
      </c>
      <c r="R462" s="147" t="s">
        <v>297</v>
      </c>
      <c r="S462" s="51" t="s">
        <v>0</v>
      </c>
      <c r="T462" s="1">
        <v>0</v>
      </c>
      <c r="U462" s="1">
        <f>2801.1-100-2701.1</f>
        <v>0</v>
      </c>
      <c r="V462" s="1">
        <f>2801.1-2801.1</f>
        <v>0</v>
      </c>
      <c r="W462" s="1">
        <v>0</v>
      </c>
      <c r="X462" s="1">
        <f>2801.1-100-2701.1</f>
        <v>0</v>
      </c>
      <c r="Y462" s="1">
        <f>2801.1-2801.1</f>
        <v>0</v>
      </c>
      <c r="Z462" s="1">
        <v>0</v>
      </c>
      <c r="AA462" s="55">
        <f t="shared" si="106"/>
        <v>0</v>
      </c>
      <c r="AB462" s="54">
        <v>2024</v>
      </c>
      <c r="AC462" s="33"/>
      <c r="AD462" s="46"/>
    </row>
    <row r="463" spans="1:30" s="47" customFormat="1" ht="47.25" hidden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69" t="s">
        <v>247</v>
      </c>
      <c r="S463" s="48" t="s">
        <v>38</v>
      </c>
      <c r="T463" s="42">
        <v>0</v>
      </c>
      <c r="U463" s="42">
        <v>0</v>
      </c>
      <c r="V463" s="42">
        <v>0</v>
      </c>
      <c r="W463" s="42">
        <v>0</v>
      </c>
      <c r="X463" s="42">
        <v>0</v>
      </c>
      <c r="Y463" s="42">
        <v>0</v>
      </c>
      <c r="Z463" s="42">
        <v>0</v>
      </c>
      <c r="AA463" s="45">
        <f t="shared" si="106"/>
        <v>0</v>
      </c>
      <c r="AB463" s="139">
        <v>2024</v>
      </c>
      <c r="AC463" s="33"/>
      <c r="AD463" s="46"/>
    </row>
    <row r="464" spans="1:30" s="47" customFormat="1" ht="47.25" hidden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69" t="s">
        <v>248</v>
      </c>
      <c r="S464" s="48" t="s">
        <v>52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49">
        <f t="shared" si="106"/>
        <v>0</v>
      </c>
      <c r="AB464" s="139">
        <v>2024</v>
      </c>
      <c r="AC464" s="33"/>
      <c r="AD464" s="46"/>
    </row>
    <row r="465" spans="1:31" s="47" customFormat="1" hidden="1" x14ac:dyDescent="0.25">
      <c r="A465" s="50" t="s">
        <v>18</v>
      </c>
      <c r="B465" s="50" t="s">
        <v>24</v>
      </c>
      <c r="C465" s="50" t="s">
        <v>22</v>
      </c>
      <c r="D465" s="50" t="s">
        <v>18</v>
      </c>
      <c r="E465" s="50" t="s">
        <v>21</v>
      </c>
      <c r="F465" s="50" t="s">
        <v>18</v>
      </c>
      <c r="G465" s="50" t="s">
        <v>22</v>
      </c>
      <c r="H465" s="50" t="s">
        <v>19</v>
      </c>
      <c r="I465" s="50" t="s">
        <v>24</v>
      </c>
      <c r="J465" s="50" t="s">
        <v>18</v>
      </c>
      <c r="K465" s="50" t="s">
        <v>235</v>
      </c>
      <c r="L465" s="50" t="s">
        <v>20</v>
      </c>
      <c r="M465" s="50" t="s">
        <v>18</v>
      </c>
      <c r="N465" s="50" t="s">
        <v>18</v>
      </c>
      <c r="O465" s="50" t="s">
        <v>18</v>
      </c>
      <c r="P465" s="50" t="s">
        <v>18</v>
      </c>
      <c r="Q465" s="50" t="s">
        <v>18</v>
      </c>
      <c r="R465" s="164" t="s">
        <v>297</v>
      </c>
      <c r="S465" s="154" t="s">
        <v>0</v>
      </c>
      <c r="T465" s="1">
        <v>0</v>
      </c>
      <c r="U465" s="1">
        <f>2801.1-100-2701.1</f>
        <v>0</v>
      </c>
      <c r="V465" s="1">
        <f>2801.1-2801.1</f>
        <v>0</v>
      </c>
      <c r="W465" s="1"/>
      <c r="X465" s="1"/>
      <c r="Y465" s="1"/>
      <c r="Z465" s="1"/>
      <c r="AA465" s="55"/>
      <c r="AB465" s="54"/>
      <c r="AC465" s="33"/>
      <c r="AD465" s="46"/>
    </row>
    <row r="466" spans="1:31" s="47" customFormat="1" hidden="1" x14ac:dyDescent="0.25">
      <c r="A466" s="50" t="s">
        <v>18</v>
      </c>
      <c r="B466" s="50" t="s">
        <v>24</v>
      </c>
      <c r="C466" s="50" t="s">
        <v>22</v>
      </c>
      <c r="D466" s="50" t="s">
        <v>18</v>
      </c>
      <c r="E466" s="50" t="s">
        <v>21</v>
      </c>
      <c r="F466" s="50" t="s">
        <v>18</v>
      </c>
      <c r="G466" s="50" t="s">
        <v>22</v>
      </c>
      <c r="H466" s="50" t="s">
        <v>19</v>
      </c>
      <c r="I466" s="50" t="s">
        <v>24</v>
      </c>
      <c r="J466" s="50" t="s">
        <v>18</v>
      </c>
      <c r="K466" s="50" t="s">
        <v>235</v>
      </c>
      <c r="L466" s="50" t="s">
        <v>20</v>
      </c>
      <c r="M466" s="50" t="s">
        <v>21</v>
      </c>
      <c r="N466" s="50" t="s">
        <v>21</v>
      </c>
      <c r="O466" s="50" t="s">
        <v>21</v>
      </c>
      <c r="P466" s="50" t="s">
        <v>21</v>
      </c>
      <c r="Q466" s="50" t="s">
        <v>20</v>
      </c>
      <c r="R466" s="165"/>
      <c r="S466" s="155"/>
      <c r="T466" s="1">
        <v>0</v>
      </c>
      <c r="U466" s="1">
        <f t="shared" ref="U466:U467" si="111">2801.1-100-2701.1</f>
        <v>0</v>
      </c>
      <c r="V466" s="1">
        <f t="shared" ref="V466:V467" si="112">2801.1-2801.1</f>
        <v>0</v>
      </c>
      <c r="W466" s="1"/>
      <c r="X466" s="1"/>
      <c r="Y466" s="1"/>
      <c r="Z466" s="1"/>
      <c r="AA466" s="55"/>
      <c r="AB466" s="54"/>
      <c r="AC466" s="33"/>
      <c r="AD466" s="46"/>
    </row>
    <row r="467" spans="1:31" s="47" customFormat="1" hidden="1" x14ac:dyDescent="0.25">
      <c r="A467" s="50" t="s">
        <v>18</v>
      </c>
      <c r="B467" s="50" t="s">
        <v>24</v>
      </c>
      <c r="C467" s="50" t="s">
        <v>22</v>
      </c>
      <c r="D467" s="50" t="s">
        <v>18</v>
      </c>
      <c r="E467" s="50" t="s">
        <v>21</v>
      </c>
      <c r="F467" s="50" t="s">
        <v>18</v>
      </c>
      <c r="G467" s="50" t="s">
        <v>22</v>
      </c>
      <c r="H467" s="50" t="s">
        <v>19</v>
      </c>
      <c r="I467" s="50" t="s">
        <v>24</v>
      </c>
      <c r="J467" s="50" t="s">
        <v>18</v>
      </c>
      <c r="K467" s="50" t="s">
        <v>235</v>
      </c>
      <c r="L467" s="50" t="s">
        <v>20</v>
      </c>
      <c r="M467" s="50" t="s">
        <v>18</v>
      </c>
      <c r="N467" s="50" t="s">
        <v>18</v>
      </c>
      <c r="O467" s="50" t="s">
        <v>21</v>
      </c>
      <c r="P467" s="50" t="s">
        <v>21</v>
      </c>
      <c r="Q467" s="50" t="s">
        <v>20</v>
      </c>
      <c r="R467" s="166"/>
      <c r="S467" s="156"/>
      <c r="T467" s="1">
        <v>0</v>
      </c>
      <c r="U467" s="1">
        <f t="shared" si="111"/>
        <v>0</v>
      </c>
      <c r="V467" s="1">
        <f t="shared" si="112"/>
        <v>0</v>
      </c>
      <c r="W467" s="1"/>
      <c r="X467" s="1"/>
      <c r="Y467" s="1"/>
      <c r="Z467" s="1"/>
      <c r="AA467" s="55"/>
      <c r="AB467" s="54"/>
      <c r="AC467" s="33"/>
      <c r="AD467" s="46"/>
    </row>
    <row r="468" spans="1:31" s="47" customFormat="1" ht="47.25" hidden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69" t="s">
        <v>304</v>
      </c>
      <c r="S468" s="48" t="s">
        <v>38</v>
      </c>
      <c r="T468" s="42"/>
      <c r="U468" s="42"/>
      <c r="V468" s="42"/>
      <c r="W468" s="42"/>
      <c r="X468" s="42"/>
      <c r="Y468" s="42"/>
      <c r="Z468" s="42"/>
      <c r="AA468" s="45"/>
      <c r="AB468" s="139"/>
      <c r="AC468" s="33"/>
      <c r="AD468" s="46"/>
    </row>
    <row r="469" spans="1:31" s="47" customFormat="1" ht="47.25" hidden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69" t="s">
        <v>305</v>
      </c>
      <c r="S469" s="48" t="s">
        <v>52</v>
      </c>
      <c r="T469" s="3"/>
      <c r="U469" s="3"/>
      <c r="V469" s="3"/>
      <c r="W469" s="3"/>
      <c r="X469" s="3"/>
      <c r="Y469" s="3"/>
      <c r="Z469" s="3"/>
      <c r="AA469" s="49"/>
      <c r="AB469" s="139"/>
      <c r="AC469" s="33"/>
      <c r="AD469" s="46"/>
    </row>
    <row r="470" spans="1:31" s="47" customFormat="1" ht="31.5" x14ac:dyDescent="0.25">
      <c r="A470" s="50" t="s">
        <v>18</v>
      </c>
      <c r="B470" s="50" t="s">
        <v>18</v>
      </c>
      <c r="C470" s="50" t="s">
        <v>43</v>
      </c>
      <c r="D470" s="50" t="s">
        <v>18</v>
      </c>
      <c r="E470" s="50" t="s">
        <v>21</v>
      </c>
      <c r="F470" s="50" t="s">
        <v>18</v>
      </c>
      <c r="G470" s="50" t="s">
        <v>22</v>
      </c>
      <c r="H470" s="50" t="s">
        <v>19</v>
      </c>
      <c r="I470" s="50" t="s">
        <v>24</v>
      </c>
      <c r="J470" s="50" t="s">
        <v>18</v>
      </c>
      <c r="K470" s="50" t="s">
        <v>19</v>
      </c>
      <c r="L470" s="50" t="s">
        <v>327</v>
      </c>
      <c r="M470" s="50" t="s">
        <v>43</v>
      </c>
      <c r="N470" s="50" t="s">
        <v>43</v>
      </c>
      <c r="O470" s="50" t="s">
        <v>43</v>
      </c>
      <c r="P470" s="50" t="s">
        <v>18</v>
      </c>
      <c r="Q470" s="50" t="s">
        <v>18</v>
      </c>
      <c r="R470" s="68" t="s">
        <v>308</v>
      </c>
      <c r="S470" s="51" t="s">
        <v>0</v>
      </c>
      <c r="T470" s="55">
        <f>10000-9745-255</f>
        <v>0</v>
      </c>
      <c r="U470" s="55">
        <f>226.8-200-26.8</f>
        <v>0</v>
      </c>
      <c r="V470" s="55">
        <f>8228.3-8228.3</f>
        <v>0</v>
      </c>
      <c r="W470" s="55">
        <f>5000-3206.5-1793.5</f>
        <v>0</v>
      </c>
      <c r="X470" s="55">
        <f>5000+11000-11034.6-4965.4</f>
        <v>0</v>
      </c>
      <c r="Y470" s="55">
        <f>5000+1139.6</f>
        <v>6139.6</v>
      </c>
      <c r="Z470" s="55">
        <v>5000</v>
      </c>
      <c r="AA470" s="55">
        <f t="shared" ref="AA470:AA472" si="113">SUM(T470:Z470)</f>
        <v>11139.6</v>
      </c>
      <c r="AB470" s="54">
        <v>2024</v>
      </c>
      <c r="AC470" s="33"/>
      <c r="AD470" s="46"/>
    </row>
    <row r="471" spans="1:31" s="47" customFormat="1" ht="31.5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69" t="s">
        <v>306</v>
      </c>
      <c r="S471" s="57" t="s">
        <v>52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4</v>
      </c>
      <c r="Z471" s="3">
        <v>4</v>
      </c>
      <c r="AA471" s="6">
        <f t="shared" si="113"/>
        <v>8</v>
      </c>
      <c r="AB471" s="39">
        <v>2024</v>
      </c>
      <c r="AC471" s="33"/>
      <c r="AD471" s="46"/>
    </row>
    <row r="472" spans="1:31" s="47" customFormat="1" ht="31.5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69" t="s">
        <v>307</v>
      </c>
      <c r="S472" s="57" t="s">
        <v>38</v>
      </c>
      <c r="T472" s="42">
        <v>0</v>
      </c>
      <c r="U472" s="42">
        <v>0</v>
      </c>
      <c r="V472" s="42">
        <v>0</v>
      </c>
      <c r="W472" s="42">
        <v>0</v>
      </c>
      <c r="X472" s="42">
        <v>0</v>
      </c>
      <c r="Y472" s="42">
        <v>4</v>
      </c>
      <c r="Z472" s="42">
        <v>4</v>
      </c>
      <c r="AA472" s="45">
        <f t="shared" si="113"/>
        <v>8</v>
      </c>
      <c r="AB472" s="39">
        <v>2024</v>
      </c>
      <c r="AC472" s="33"/>
      <c r="AD472" s="46"/>
    </row>
    <row r="473" spans="1:31" ht="78.75" x14ac:dyDescent="0.2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150" t="s">
        <v>334</v>
      </c>
      <c r="S473" s="51" t="s">
        <v>41</v>
      </c>
      <c r="T473" s="52">
        <v>0</v>
      </c>
      <c r="U473" s="52">
        <v>0</v>
      </c>
      <c r="V473" s="52">
        <v>0</v>
      </c>
      <c r="W473" s="52">
        <v>1</v>
      </c>
      <c r="X473" s="52">
        <v>1</v>
      </c>
      <c r="Y473" s="52">
        <v>1</v>
      </c>
      <c r="Z473" s="52">
        <v>1</v>
      </c>
      <c r="AA473" s="53">
        <v>1</v>
      </c>
      <c r="AB473" s="54">
        <v>2024</v>
      </c>
      <c r="AD473" s="94"/>
      <c r="AE473" s="94"/>
    </row>
    <row r="474" spans="1:31" ht="78.75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69" t="s">
        <v>335</v>
      </c>
      <c r="S474" s="57" t="s">
        <v>38</v>
      </c>
      <c r="T474" s="42">
        <v>0</v>
      </c>
      <c r="U474" s="42">
        <v>0</v>
      </c>
      <c r="V474" s="42">
        <v>0</v>
      </c>
      <c r="W474" s="42">
        <v>4</v>
      </c>
      <c r="X474" s="42">
        <v>4</v>
      </c>
      <c r="Y474" s="42">
        <v>4</v>
      </c>
      <c r="Z474" s="42">
        <v>4</v>
      </c>
      <c r="AA474" s="45">
        <f>SUM(T474:Z474)</f>
        <v>16</v>
      </c>
      <c r="AB474" s="39">
        <v>2024</v>
      </c>
      <c r="AD474" s="94"/>
      <c r="AE474" s="94"/>
    </row>
    <row r="475" spans="1:31" ht="72.75" customHeight="1" x14ac:dyDescent="0.2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150" t="s">
        <v>336</v>
      </c>
      <c r="S475" s="51" t="s">
        <v>41</v>
      </c>
      <c r="T475" s="52">
        <v>0</v>
      </c>
      <c r="U475" s="52">
        <v>0</v>
      </c>
      <c r="V475" s="52">
        <v>0</v>
      </c>
      <c r="W475" s="52">
        <v>1</v>
      </c>
      <c r="X475" s="52">
        <v>1</v>
      </c>
      <c r="Y475" s="52">
        <v>1</v>
      </c>
      <c r="Z475" s="52">
        <v>1</v>
      </c>
      <c r="AA475" s="53">
        <v>1</v>
      </c>
      <c r="AB475" s="54">
        <v>2024</v>
      </c>
      <c r="AD475" s="94"/>
      <c r="AE475" s="94"/>
    </row>
    <row r="476" spans="1:31" ht="78.75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69" t="s">
        <v>339</v>
      </c>
      <c r="S476" s="57" t="s">
        <v>38</v>
      </c>
      <c r="T476" s="42">
        <v>0</v>
      </c>
      <c r="U476" s="42">
        <v>0</v>
      </c>
      <c r="V476" s="42">
        <v>0</v>
      </c>
      <c r="W476" s="42">
        <v>12</v>
      </c>
      <c r="X476" s="42">
        <v>12</v>
      </c>
      <c r="Y476" s="42">
        <v>12</v>
      </c>
      <c r="Z476" s="42">
        <v>12</v>
      </c>
      <c r="AA476" s="45">
        <f>SUM(T476:Z476)</f>
        <v>48</v>
      </c>
      <c r="AB476" s="39">
        <v>2024</v>
      </c>
      <c r="AD476" s="94"/>
      <c r="AE476" s="94"/>
    </row>
    <row r="477" spans="1:31" ht="53.25" customHeight="1" x14ac:dyDescent="0.2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150" t="s">
        <v>341</v>
      </c>
      <c r="S477" s="51" t="s">
        <v>41</v>
      </c>
      <c r="T477" s="52">
        <v>0</v>
      </c>
      <c r="U477" s="52">
        <v>0</v>
      </c>
      <c r="V477" s="52">
        <v>0</v>
      </c>
      <c r="W477" s="52">
        <v>1</v>
      </c>
      <c r="X477" s="52">
        <v>1</v>
      </c>
      <c r="Y477" s="52">
        <v>1</v>
      </c>
      <c r="Z477" s="52">
        <v>1</v>
      </c>
      <c r="AA477" s="53">
        <v>1</v>
      </c>
      <c r="AB477" s="54">
        <v>2024</v>
      </c>
      <c r="AD477" s="94"/>
      <c r="AE477" s="94"/>
    </row>
    <row r="478" spans="1:31" ht="47.25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69" t="s">
        <v>340</v>
      </c>
      <c r="S478" s="57" t="s">
        <v>52</v>
      </c>
      <c r="T478" s="42">
        <v>0</v>
      </c>
      <c r="U478" s="42">
        <v>0</v>
      </c>
      <c r="V478" s="42">
        <v>0</v>
      </c>
      <c r="W478" s="3">
        <v>20.5</v>
      </c>
      <c r="X478" s="3">
        <f>10+2.7+3.2</f>
        <v>15.899999999999999</v>
      </c>
      <c r="Y478" s="42">
        <v>5</v>
      </c>
      <c r="Z478" s="42">
        <v>5</v>
      </c>
      <c r="AA478" s="6">
        <f>SUM(W478:Z478)</f>
        <v>46.4</v>
      </c>
      <c r="AB478" s="39">
        <v>2024</v>
      </c>
      <c r="AD478" s="94"/>
      <c r="AE478" s="94"/>
    </row>
    <row r="479" spans="1:31" ht="57" customHeight="1" x14ac:dyDescent="0.25">
      <c r="A479" s="44"/>
      <c r="B479" s="44"/>
      <c r="C479" s="44"/>
      <c r="D479" s="44"/>
      <c r="E479" s="44"/>
      <c r="F479" s="44"/>
      <c r="G479" s="44"/>
      <c r="H479" s="44" t="s">
        <v>19</v>
      </c>
      <c r="I479" s="44" t="s">
        <v>24</v>
      </c>
      <c r="J479" s="44" t="s">
        <v>18</v>
      </c>
      <c r="K479" s="44" t="s">
        <v>18</v>
      </c>
      <c r="L479" s="44" t="s">
        <v>22</v>
      </c>
      <c r="M479" s="44" t="s">
        <v>18</v>
      </c>
      <c r="N479" s="44" t="s">
        <v>18</v>
      </c>
      <c r="O479" s="44" t="s">
        <v>18</v>
      </c>
      <c r="P479" s="44" t="s">
        <v>18</v>
      </c>
      <c r="Q479" s="44" t="s">
        <v>18</v>
      </c>
      <c r="R479" s="90" t="s">
        <v>55</v>
      </c>
      <c r="S479" s="131" t="s">
        <v>0</v>
      </c>
      <c r="T479" s="130">
        <f>T483++T500+T503+T524</f>
        <v>7230.2999999999993</v>
      </c>
      <c r="U479" s="130">
        <f>U483++U500+U503+U524+U536+U534+U538+U498</f>
        <v>12898</v>
      </c>
      <c r="V479" s="130">
        <f>V483++V500+V503+V524</f>
        <v>3228.7</v>
      </c>
      <c r="W479" s="130">
        <f>W483++W500+W503+W524</f>
        <v>3490.5999999999995</v>
      </c>
      <c r="X479" s="130">
        <f>X483++X500+X503+X524</f>
        <v>3810.5</v>
      </c>
      <c r="Y479" s="130">
        <f>Y483++Y500+Y503+Y524</f>
        <v>4311.8</v>
      </c>
      <c r="Z479" s="130">
        <f>Z483++Z500+Z503+Z524</f>
        <v>4484</v>
      </c>
      <c r="AA479" s="130">
        <f t="shared" si="106"/>
        <v>39453.9</v>
      </c>
      <c r="AB479" s="131">
        <v>2024</v>
      </c>
      <c r="AC479" s="110"/>
    </row>
    <row r="480" spans="1:31" ht="31.5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152" t="s">
        <v>134</v>
      </c>
      <c r="S480" s="139" t="s">
        <v>31</v>
      </c>
      <c r="T480" s="4">
        <f t="shared" ref="T480:Y480" si="114">T484</f>
        <v>10473.4</v>
      </c>
      <c r="U480" s="4">
        <f t="shared" si="114"/>
        <v>4682.5</v>
      </c>
      <c r="V480" s="4">
        <f t="shared" si="114"/>
        <v>4156.2</v>
      </c>
      <c r="W480" s="4">
        <f t="shared" si="114"/>
        <v>5575.6</v>
      </c>
      <c r="X480" s="4">
        <f t="shared" si="114"/>
        <v>4935</v>
      </c>
      <c r="Y480" s="4">
        <f t="shared" si="114"/>
        <v>5799.6</v>
      </c>
      <c r="Z480" s="4">
        <f t="shared" ref="Z480" si="115">Z484</f>
        <v>5799.6</v>
      </c>
      <c r="AA480" s="5">
        <f t="shared" si="106"/>
        <v>41421.899999999994</v>
      </c>
      <c r="AB480" s="139">
        <v>2024</v>
      </c>
      <c r="AC480" s="33"/>
    </row>
    <row r="481" spans="1:31" ht="31.5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152" t="s">
        <v>135</v>
      </c>
      <c r="S481" s="139" t="s">
        <v>50</v>
      </c>
      <c r="T481" s="42">
        <f t="shared" ref="T481:Y481" si="116">T504</f>
        <v>450</v>
      </c>
      <c r="U481" s="42">
        <f t="shared" si="116"/>
        <v>450</v>
      </c>
      <c r="V481" s="42">
        <f t="shared" si="116"/>
        <v>0</v>
      </c>
      <c r="W481" s="42">
        <f t="shared" si="116"/>
        <v>0</v>
      </c>
      <c r="X481" s="42">
        <f t="shared" si="116"/>
        <v>0</v>
      </c>
      <c r="Y481" s="42">
        <f t="shared" si="116"/>
        <v>0</v>
      </c>
      <c r="Z481" s="42">
        <f t="shared" ref="Z481" si="117">Z504</f>
        <v>0</v>
      </c>
      <c r="AA481" s="43">
        <f t="shared" ref="AA481:AA482" si="118">SUM(T481:Z481)</f>
        <v>900</v>
      </c>
      <c r="AB481" s="139">
        <v>2019</v>
      </c>
      <c r="AC481" s="33"/>
    </row>
    <row r="482" spans="1:31" ht="48.7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152" t="s">
        <v>136</v>
      </c>
      <c r="S482" s="39" t="s">
        <v>38</v>
      </c>
      <c r="T482" s="42">
        <f t="shared" ref="T482:V482" si="119">T525</f>
        <v>27</v>
      </c>
      <c r="U482" s="42">
        <f t="shared" si="119"/>
        <v>4</v>
      </c>
      <c r="V482" s="42">
        <f t="shared" si="119"/>
        <v>16</v>
      </c>
      <c r="W482" s="42">
        <f>W485</f>
        <v>2</v>
      </c>
      <c r="X482" s="42">
        <f t="shared" ref="X482:Z482" si="120">X485</f>
        <v>0</v>
      </c>
      <c r="Y482" s="42">
        <f t="shared" si="120"/>
        <v>14</v>
      </c>
      <c r="Z482" s="42">
        <f t="shared" si="120"/>
        <v>14</v>
      </c>
      <c r="AA482" s="43">
        <f t="shared" si="118"/>
        <v>77</v>
      </c>
      <c r="AB482" s="39">
        <v>2024</v>
      </c>
      <c r="AC482" s="33"/>
    </row>
    <row r="483" spans="1:31" ht="37.5" customHeight="1" x14ac:dyDescent="0.25">
      <c r="A483" s="50"/>
      <c r="B483" s="50"/>
      <c r="C483" s="50"/>
      <c r="D483" s="50" t="s">
        <v>18</v>
      </c>
      <c r="E483" s="50" t="s">
        <v>21</v>
      </c>
      <c r="F483" s="50" t="s">
        <v>18</v>
      </c>
      <c r="G483" s="50" t="s">
        <v>22</v>
      </c>
      <c r="H483" s="50" t="s">
        <v>19</v>
      </c>
      <c r="I483" s="50" t="s">
        <v>24</v>
      </c>
      <c r="J483" s="50" t="s">
        <v>18</v>
      </c>
      <c r="K483" s="50" t="s">
        <v>18</v>
      </c>
      <c r="L483" s="50" t="s">
        <v>22</v>
      </c>
      <c r="M483" s="50" t="s">
        <v>43</v>
      </c>
      <c r="N483" s="50" t="s">
        <v>43</v>
      </c>
      <c r="O483" s="50" t="s">
        <v>43</v>
      </c>
      <c r="P483" s="50" t="s">
        <v>43</v>
      </c>
      <c r="Q483" s="50" t="s">
        <v>43</v>
      </c>
      <c r="R483" s="68" t="s">
        <v>137</v>
      </c>
      <c r="S483" s="54" t="s">
        <v>0</v>
      </c>
      <c r="T483" s="55">
        <f>T486+T492+T489+T495</f>
        <v>5760.9</v>
      </c>
      <c r="U483" s="55">
        <f t="shared" ref="U483:Y483" si="121">U486+U492+U489+U495</f>
        <v>5337.7</v>
      </c>
      <c r="V483" s="55">
        <f>V486+V492+V489+V495</f>
        <v>3171</v>
      </c>
      <c r="W483" s="55">
        <f t="shared" si="121"/>
        <v>3490.5999999999995</v>
      </c>
      <c r="X483" s="55">
        <f t="shared" si="121"/>
        <v>3810.5</v>
      </c>
      <c r="Y483" s="55">
        <f t="shared" si="121"/>
        <v>4311.8</v>
      </c>
      <c r="Z483" s="55">
        <f t="shared" ref="Z483" si="122">Z486+Z492+Z489+Z495</f>
        <v>4484</v>
      </c>
      <c r="AA483" s="55">
        <f t="shared" ref="AA483:AA501" si="123">SUM(T483:Z483)</f>
        <v>30366.499999999996</v>
      </c>
      <c r="AB483" s="54">
        <v>2024</v>
      </c>
      <c r="AC483" s="110"/>
    </row>
    <row r="484" spans="1:31" ht="31.5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82" t="s">
        <v>134</v>
      </c>
      <c r="S484" s="139" t="s">
        <v>31</v>
      </c>
      <c r="T484" s="3">
        <f>T487+T490+T493+T496</f>
        <v>10473.4</v>
      </c>
      <c r="U484" s="3">
        <f t="shared" ref="U484:Y484" si="124">U487+U490+U493+U496</f>
        <v>4682.5</v>
      </c>
      <c r="V484" s="3">
        <f t="shared" si="124"/>
        <v>4156.2</v>
      </c>
      <c r="W484" s="3">
        <f t="shared" si="124"/>
        <v>5575.6</v>
      </c>
      <c r="X484" s="3">
        <f>X487+X490+X493+X496</f>
        <v>4935</v>
      </c>
      <c r="Y484" s="3">
        <f t="shared" si="124"/>
        <v>5799.6</v>
      </c>
      <c r="Z484" s="3">
        <f t="shared" ref="Z484:Z485" si="125">Z487+Z490+Z493+Z496</f>
        <v>5799.6</v>
      </c>
      <c r="AA484" s="5">
        <f t="shared" si="123"/>
        <v>41421.899999999994</v>
      </c>
      <c r="AB484" s="39">
        <v>2024</v>
      </c>
      <c r="AC484" s="113"/>
      <c r="AD484" s="92"/>
    </row>
    <row r="485" spans="1:31" ht="54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82" t="s">
        <v>311</v>
      </c>
      <c r="S485" s="139" t="s">
        <v>38</v>
      </c>
      <c r="T485" s="42">
        <f>T488+T491+T494+T497</f>
        <v>0</v>
      </c>
      <c r="U485" s="42">
        <f t="shared" ref="U485:Y485" si="126">U488+U491+U494+U497</f>
        <v>0</v>
      </c>
      <c r="V485" s="42">
        <f t="shared" si="126"/>
        <v>0</v>
      </c>
      <c r="W485" s="42">
        <f t="shared" si="126"/>
        <v>2</v>
      </c>
      <c r="X485" s="42">
        <f t="shared" si="126"/>
        <v>0</v>
      </c>
      <c r="Y485" s="42">
        <f t="shared" si="126"/>
        <v>14</v>
      </c>
      <c r="Z485" s="42">
        <f t="shared" si="125"/>
        <v>14</v>
      </c>
      <c r="AA485" s="43">
        <f t="shared" si="123"/>
        <v>30</v>
      </c>
      <c r="AB485" s="39">
        <v>2024</v>
      </c>
      <c r="AC485" s="113"/>
      <c r="AD485" s="92"/>
    </row>
    <row r="486" spans="1:31" ht="31.5" x14ac:dyDescent="0.25">
      <c r="A486" s="50" t="s">
        <v>18</v>
      </c>
      <c r="B486" s="50" t="s">
        <v>18</v>
      </c>
      <c r="C486" s="50" t="s">
        <v>22</v>
      </c>
      <c r="D486" s="50" t="s">
        <v>18</v>
      </c>
      <c r="E486" s="50" t="s">
        <v>21</v>
      </c>
      <c r="F486" s="50" t="s">
        <v>18</v>
      </c>
      <c r="G486" s="50" t="s">
        <v>22</v>
      </c>
      <c r="H486" s="50" t="s">
        <v>19</v>
      </c>
      <c r="I486" s="50" t="s">
        <v>24</v>
      </c>
      <c r="J486" s="50" t="s">
        <v>18</v>
      </c>
      <c r="K486" s="50" t="s">
        <v>18</v>
      </c>
      <c r="L486" s="50" t="s">
        <v>22</v>
      </c>
      <c r="M486" s="50" t="s">
        <v>43</v>
      </c>
      <c r="N486" s="50" t="s">
        <v>43</v>
      </c>
      <c r="O486" s="50" t="s">
        <v>43</v>
      </c>
      <c r="P486" s="50" t="s">
        <v>43</v>
      </c>
      <c r="Q486" s="50" t="s">
        <v>43</v>
      </c>
      <c r="R486" s="68" t="s">
        <v>138</v>
      </c>
      <c r="S486" s="51" t="s">
        <v>0</v>
      </c>
      <c r="T486" s="1">
        <f>3617.1-376.2-40-150</f>
        <v>3050.9</v>
      </c>
      <c r="U486" s="1">
        <f>2917.1-100</f>
        <v>2817.1</v>
      </c>
      <c r="V486" s="1">
        <v>1090.5999999999999</v>
      </c>
      <c r="W486" s="1">
        <f>2417.1-692.3-89.8</f>
        <v>1635</v>
      </c>
      <c r="X486" s="1">
        <f>2417.1-467.5</f>
        <v>1949.6</v>
      </c>
      <c r="Y486" s="1">
        <v>2417.1</v>
      </c>
      <c r="Z486" s="1">
        <v>2417.1</v>
      </c>
      <c r="AA486" s="55">
        <f t="shared" si="123"/>
        <v>15377.400000000001</v>
      </c>
      <c r="AB486" s="54">
        <v>2024</v>
      </c>
      <c r="AC486" s="109"/>
      <c r="AD486" s="92"/>
      <c r="AE486" s="92"/>
    </row>
    <row r="487" spans="1:31" ht="31.5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71" t="s">
        <v>312</v>
      </c>
      <c r="S487" s="139" t="s">
        <v>31</v>
      </c>
      <c r="T487" s="3">
        <v>4849</v>
      </c>
      <c r="U487" s="3">
        <f>4307-1114</f>
        <v>3193</v>
      </c>
      <c r="V487" s="3">
        <v>1569</v>
      </c>
      <c r="W487" s="3">
        <v>2700</v>
      </c>
      <c r="X487" s="3">
        <v>2366</v>
      </c>
      <c r="Y487" s="3">
        <v>3555.6</v>
      </c>
      <c r="Z487" s="3">
        <v>3555.6</v>
      </c>
      <c r="AA487" s="5">
        <f t="shared" si="123"/>
        <v>21788.199999999997</v>
      </c>
      <c r="AB487" s="39">
        <v>2024</v>
      </c>
      <c r="AC487" s="113"/>
      <c r="AD487" s="92"/>
    </row>
    <row r="488" spans="1:31" ht="51.7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71" t="s">
        <v>313</v>
      </c>
      <c r="S488" s="139" t="s">
        <v>38</v>
      </c>
      <c r="T488" s="42">
        <v>0</v>
      </c>
      <c r="U488" s="42">
        <v>0</v>
      </c>
      <c r="V488" s="42">
        <v>0</v>
      </c>
      <c r="W488" s="42">
        <v>0</v>
      </c>
      <c r="X488" s="42">
        <v>0</v>
      </c>
      <c r="Y488" s="42">
        <v>4</v>
      </c>
      <c r="Z488" s="42">
        <v>4</v>
      </c>
      <c r="AA488" s="43">
        <f t="shared" si="123"/>
        <v>8</v>
      </c>
      <c r="AB488" s="39">
        <v>2024</v>
      </c>
      <c r="AC488" s="113"/>
      <c r="AD488" s="92"/>
    </row>
    <row r="489" spans="1:31" ht="31.5" x14ac:dyDescent="0.25">
      <c r="A489" s="50" t="s">
        <v>18</v>
      </c>
      <c r="B489" s="50" t="s">
        <v>18</v>
      </c>
      <c r="C489" s="50" t="s">
        <v>24</v>
      </c>
      <c r="D489" s="50" t="s">
        <v>18</v>
      </c>
      <c r="E489" s="50" t="s">
        <v>21</v>
      </c>
      <c r="F489" s="50" t="s">
        <v>18</v>
      </c>
      <c r="G489" s="50" t="s">
        <v>22</v>
      </c>
      <c r="H489" s="50" t="s">
        <v>19</v>
      </c>
      <c r="I489" s="50" t="s">
        <v>24</v>
      </c>
      <c r="J489" s="50" t="s">
        <v>18</v>
      </c>
      <c r="K489" s="50" t="s">
        <v>18</v>
      </c>
      <c r="L489" s="50" t="s">
        <v>22</v>
      </c>
      <c r="M489" s="50" t="s">
        <v>43</v>
      </c>
      <c r="N489" s="50" t="s">
        <v>43</v>
      </c>
      <c r="O489" s="50" t="s">
        <v>43</v>
      </c>
      <c r="P489" s="50" t="s">
        <v>43</v>
      </c>
      <c r="Q489" s="50" t="s">
        <v>43</v>
      </c>
      <c r="R489" s="68" t="s">
        <v>139</v>
      </c>
      <c r="S489" s="51" t="s">
        <v>0</v>
      </c>
      <c r="T489" s="1">
        <f>398.5-63.6-24.8</f>
        <v>310.09999999999997</v>
      </c>
      <c r="U489" s="1">
        <f>398.5-18.9</f>
        <v>379.6</v>
      </c>
      <c r="V489" s="1">
        <f>398.5-27.6</f>
        <v>370.9</v>
      </c>
      <c r="W489" s="1">
        <f>399.6-9.9</f>
        <v>389.70000000000005</v>
      </c>
      <c r="X489" s="1">
        <f>399.6-7.1</f>
        <v>392.5</v>
      </c>
      <c r="Y489" s="1">
        <v>399.6</v>
      </c>
      <c r="Z489" s="1">
        <v>399.6</v>
      </c>
      <c r="AA489" s="55">
        <f t="shared" si="123"/>
        <v>2642</v>
      </c>
      <c r="AB489" s="54">
        <v>2024</v>
      </c>
      <c r="AC489" s="109"/>
      <c r="AD489" s="92"/>
    </row>
    <row r="490" spans="1:31" ht="31.5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71" t="s">
        <v>314</v>
      </c>
      <c r="S490" s="139" t="s">
        <v>31</v>
      </c>
      <c r="T490" s="4">
        <v>421.4</v>
      </c>
      <c r="U490" s="4">
        <v>195</v>
      </c>
      <c r="V490" s="4">
        <v>554</v>
      </c>
      <c r="W490" s="3">
        <v>447</v>
      </c>
      <c r="X490" s="3">
        <v>444</v>
      </c>
      <c r="Y490" s="3">
        <v>461</v>
      </c>
      <c r="Z490" s="3">
        <v>461</v>
      </c>
      <c r="AA490" s="6">
        <f t="shared" si="123"/>
        <v>2983.4</v>
      </c>
      <c r="AB490" s="39">
        <v>2024</v>
      </c>
      <c r="AC490" s="113"/>
      <c r="AD490" s="92"/>
    </row>
    <row r="491" spans="1:31" ht="51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71" t="s">
        <v>315</v>
      </c>
      <c r="S491" s="139" t="s">
        <v>38</v>
      </c>
      <c r="T491" s="2">
        <v>0</v>
      </c>
      <c r="U491" s="2">
        <v>0</v>
      </c>
      <c r="V491" s="2">
        <v>0</v>
      </c>
      <c r="W491" s="42">
        <v>0</v>
      </c>
      <c r="X491" s="42">
        <v>0</v>
      </c>
      <c r="Y491" s="42">
        <v>2</v>
      </c>
      <c r="Z491" s="42">
        <v>2</v>
      </c>
      <c r="AA491" s="45">
        <f t="shared" ref="AA491" si="127">SUM(T491:Z491)</f>
        <v>4</v>
      </c>
      <c r="AB491" s="39">
        <v>2024</v>
      </c>
      <c r="AC491" s="113"/>
      <c r="AD491" s="92"/>
    </row>
    <row r="492" spans="1:31" ht="31.5" x14ac:dyDescent="0.25">
      <c r="A492" s="50" t="s">
        <v>18</v>
      </c>
      <c r="B492" s="50" t="s">
        <v>18</v>
      </c>
      <c r="C492" s="50" t="s">
        <v>21</v>
      </c>
      <c r="D492" s="50" t="s">
        <v>18</v>
      </c>
      <c r="E492" s="50" t="s">
        <v>21</v>
      </c>
      <c r="F492" s="50" t="s">
        <v>18</v>
      </c>
      <c r="G492" s="50" t="s">
        <v>22</v>
      </c>
      <c r="H492" s="50" t="s">
        <v>19</v>
      </c>
      <c r="I492" s="50" t="s">
        <v>24</v>
      </c>
      <c r="J492" s="50" t="s">
        <v>18</v>
      </c>
      <c r="K492" s="50" t="s">
        <v>18</v>
      </c>
      <c r="L492" s="50" t="s">
        <v>22</v>
      </c>
      <c r="M492" s="50" t="s">
        <v>43</v>
      </c>
      <c r="N492" s="50" t="s">
        <v>43</v>
      </c>
      <c r="O492" s="50" t="s">
        <v>43</v>
      </c>
      <c r="P492" s="50" t="s">
        <v>43</v>
      </c>
      <c r="Q492" s="50" t="s">
        <v>43</v>
      </c>
      <c r="R492" s="150" t="s">
        <v>140</v>
      </c>
      <c r="S492" s="51" t="s">
        <v>0</v>
      </c>
      <c r="T492" s="1">
        <f>1961.8-500-47.8</f>
        <v>1414</v>
      </c>
      <c r="U492" s="1">
        <f>1163-0.4</f>
        <v>1162.5999999999999</v>
      </c>
      <c r="V492" s="1">
        <f>1165.6-57.2</f>
        <v>1108.3999999999999</v>
      </c>
      <c r="W492" s="1">
        <f>1166.9-121.7</f>
        <v>1045.2</v>
      </c>
      <c r="X492" s="1">
        <f>1166.9-27.1+21</f>
        <v>1160.8000000000002</v>
      </c>
      <c r="Y492" s="1">
        <v>1166.9000000000001</v>
      </c>
      <c r="Z492" s="1">
        <v>1166.9000000000001</v>
      </c>
      <c r="AA492" s="55">
        <f t="shared" si="123"/>
        <v>8224.7999999999993</v>
      </c>
      <c r="AB492" s="54">
        <v>2024</v>
      </c>
      <c r="AC492" s="109"/>
      <c r="AD492" s="92"/>
    </row>
    <row r="493" spans="1:31" ht="31.5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71" t="s">
        <v>323</v>
      </c>
      <c r="S493" s="139" t="s">
        <v>31</v>
      </c>
      <c r="T493" s="4">
        <v>3300</v>
      </c>
      <c r="U493" s="4">
        <v>1194.5</v>
      </c>
      <c r="V493" s="4">
        <v>1600</v>
      </c>
      <c r="W493" s="3">
        <v>1904.6</v>
      </c>
      <c r="X493" s="3">
        <v>1556</v>
      </c>
      <c r="Y493" s="3">
        <v>1500</v>
      </c>
      <c r="Z493" s="3">
        <v>1500</v>
      </c>
      <c r="AA493" s="5">
        <f t="shared" si="123"/>
        <v>12555.1</v>
      </c>
      <c r="AB493" s="39">
        <v>2024</v>
      </c>
      <c r="AC493" s="113"/>
      <c r="AD493" s="92"/>
    </row>
    <row r="494" spans="1:31" ht="54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71" t="s">
        <v>324</v>
      </c>
      <c r="S494" s="139" t="s">
        <v>38</v>
      </c>
      <c r="T494" s="2">
        <v>0</v>
      </c>
      <c r="U494" s="2">
        <v>0</v>
      </c>
      <c r="V494" s="2">
        <v>0</v>
      </c>
      <c r="W494" s="42">
        <v>1</v>
      </c>
      <c r="X494" s="42">
        <v>0</v>
      </c>
      <c r="Y494" s="42">
        <v>3</v>
      </c>
      <c r="Z494" s="42">
        <v>3</v>
      </c>
      <c r="AA494" s="43">
        <f t="shared" ref="AA494" si="128">SUM(T494:Z494)</f>
        <v>7</v>
      </c>
      <c r="AB494" s="39">
        <v>2024</v>
      </c>
      <c r="AC494" s="129"/>
      <c r="AD494" s="92"/>
    </row>
    <row r="495" spans="1:31" ht="40.5" customHeight="1" x14ac:dyDescent="0.25">
      <c r="A495" s="50" t="s">
        <v>18</v>
      </c>
      <c r="B495" s="50" t="s">
        <v>18</v>
      </c>
      <c r="C495" s="50" t="s">
        <v>25</v>
      </c>
      <c r="D495" s="50" t="s">
        <v>18</v>
      </c>
      <c r="E495" s="50" t="s">
        <v>21</v>
      </c>
      <c r="F495" s="50" t="s">
        <v>18</v>
      </c>
      <c r="G495" s="50" t="s">
        <v>22</v>
      </c>
      <c r="H495" s="50" t="s">
        <v>19</v>
      </c>
      <c r="I495" s="50" t="s">
        <v>24</v>
      </c>
      <c r="J495" s="50" t="s">
        <v>18</v>
      </c>
      <c r="K495" s="50" t="s">
        <v>18</v>
      </c>
      <c r="L495" s="50" t="s">
        <v>22</v>
      </c>
      <c r="M495" s="50" t="s">
        <v>43</v>
      </c>
      <c r="N495" s="50" t="s">
        <v>43</v>
      </c>
      <c r="O495" s="50" t="s">
        <v>43</v>
      </c>
      <c r="P495" s="50" t="s">
        <v>43</v>
      </c>
      <c r="Q495" s="50" t="s">
        <v>43</v>
      </c>
      <c r="R495" s="150" t="s">
        <v>141</v>
      </c>
      <c r="S495" s="51" t="s">
        <v>0</v>
      </c>
      <c r="T495" s="1">
        <f>1502-455.3-60.8</f>
        <v>985.90000000000009</v>
      </c>
      <c r="U495" s="1">
        <f>1000-21.6</f>
        <v>978.4</v>
      </c>
      <c r="V495" s="1">
        <f>700-98.9</f>
        <v>601.1</v>
      </c>
      <c r="W495" s="1">
        <f>500.4-79.7</f>
        <v>420.7</v>
      </c>
      <c r="X495" s="1">
        <f>328.2-20.6</f>
        <v>307.59999999999997</v>
      </c>
      <c r="Y495" s="1">
        <v>328.2</v>
      </c>
      <c r="Z495" s="1">
        <v>500.4</v>
      </c>
      <c r="AA495" s="55">
        <f t="shared" si="123"/>
        <v>4122.2999999999993</v>
      </c>
      <c r="AB495" s="54">
        <v>2024</v>
      </c>
      <c r="AC495" s="110"/>
      <c r="AD495" s="12"/>
    </row>
    <row r="496" spans="1:31" ht="31.5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69" t="s">
        <v>325</v>
      </c>
      <c r="S496" s="139" t="s">
        <v>31</v>
      </c>
      <c r="T496" s="3">
        <v>1903</v>
      </c>
      <c r="U496" s="3">
        <v>100</v>
      </c>
      <c r="V496" s="3">
        <v>433.2</v>
      </c>
      <c r="W496" s="3">
        <v>524</v>
      </c>
      <c r="X496" s="3">
        <v>569</v>
      </c>
      <c r="Y496" s="3">
        <v>283</v>
      </c>
      <c r="Z496" s="3">
        <v>283</v>
      </c>
      <c r="AA496" s="5">
        <f t="shared" si="123"/>
        <v>4095.2</v>
      </c>
      <c r="AB496" s="39">
        <v>2024</v>
      </c>
      <c r="AC496" s="113"/>
      <c r="AD496" s="92"/>
    </row>
    <row r="497" spans="1:34" ht="52.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71" t="s">
        <v>326</v>
      </c>
      <c r="S497" s="139" t="s">
        <v>38</v>
      </c>
      <c r="T497" s="42">
        <v>0</v>
      </c>
      <c r="U497" s="42">
        <v>0</v>
      </c>
      <c r="V497" s="42">
        <v>0</v>
      </c>
      <c r="W497" s="42">
        <v>1</v>
      </c>
      <c r="X497" s="42">
        <v>0</v>
      </c>
      <c r="Y497" s="42">
        <v>5</v>
      </c>
      <c r="Z497" s="42">
        <v>5</v>
      </c>
      <c r="AA497" s="43">
        <f t="shared" ref="AA497" si="129">SUM(T497:Z497)</f>
        <v>11</v>
      </c>
      <c r="AB497" s="39">
        <v>2024</v>
      </c>
      <c r="AC497" s="129"/>
      <c r="AD497" s="92"/>
    </row>
    <row r="498" spans="1:34" s="87" customFormat="1" ht="45" customHeight="1" x14ac:dyDescent="0.25">
      <c r="A498" s="50" t="s">
        <v>18</v>
      </c>
      <c r="B498" s="50" t="s">
        <v>19</v>
      </c>
      <c r="C498" s="50" t="s">
        <v>20</v>
      </c>
      <c r="D498" s="50" t="s">
        <v>18</v>
      </c>
      <c r="E498" s="50" t="s">
        <v>24</v>
      </c>
      <c r="F498" s="50" t="s">
        <v>18</v>
      </c>
      <c r="G498" s="50" t="s">
        <v>21</v>
      </c>
      <c r="H498" s="50" t="s">
        <v>19</v>
      </c>
      <c r="I498" s="50" t="s">
        <v>24</v>
      </c>
      <c r="J498" s="50" t="s">
        <v>18</v>
      </c>
      <c r="K498" s="50" t="s">
        <v>18</v>
      </c>
      <c r="L498" s="50" t="s">
        <v>22</v>
      </c>
      <c r="M498" s="50" t="s">
        <v>43</v>
      </c>
      <c r="N498" s="50" t="s">
        <v>43</v>
      </c>
      <c r="O498" s="50" t="s">
        <v>43</v>
      </c>
      <c r="P498" s="50" t="s">
        <v>43</v>
      </c>
      <c r="Q498" s="50" t="s">
        <v>43</v>
      </c>
      <c r="R498" s="149" t="s">
        <v>343</v>
      </c>
      <c r="S498" s="54" t="s">
        <v>0</v>
      </c>
      <c r="T498" s="55">
        <v>0</v>
      </c>
      <c r="U498" s="55">
        <v>6000</v>
      </c>
      <c r="V498" s="55">
        <v>0</v>
      </c>
      <c r="W498" s="55">
        <v>0</v>
      </c>
      <c r="X498" s="55">
        <v>0</v>
      </c>
      <c r="Y498" s="55">
        <v>0</v>
      </c>
      <c r="Z498" s="55">
        <v>0</v>
      </c>
      <c r="AA498" s="55">
        <f>T498+U498+V498+W498+X498+Y498</f>
        <v>6000</v>
      </c>
      <c r="AB498" s="54">
        <v>2019</v>
      </c>
      <c r="AC498" s="151"/>
    </row>
    <row r="499" spans="1:34" s="64" customFormat="1" ht="47.25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69" t="s">
        <v>289</v>
      </c>
      <c r="S499" s="39" t="s">
        <v>38</v>
      </c>
      <c r="T499" s="39">
        <v>0</v>
      </c>
      <c r="U499" s="39">
        <v>1</v>
      </c>
      <c r="V499" s="39">
        <v>0</v>
      </c>
      <c r="W499" s="39">
        <v>0</v>
      </c>
      <c r="X499" s="39">
        <v>0</v>
      </c>
      <c r="Y499" s="39">
        <v>0</v>
      </c>
      <c r="Z499" s="39">
        <v>0</v>
      </c>
      <c r="AA499" s="45">
        <f>U499</f>
        <v>1</v>
      </c>
      <c r="AB499" s="39">
        <v>2019</v>
      </c>
      <c r="AC499" s="101"/>
    </row>
    <row r="500" spans="1:34" s="135" customFormat="1" ht="46.9" hidden="1" customHeight="1" x14ac:dyDescent="0.25">
      <c r="A500" s="21" t="s">
        <v>18</v>
      </c>
      <c r="B500" s="21" t="s">
        <v>24</v>
      </c>
      <c r="C500" s="21" t="s">
        <v>22</v>
      </c>
      <c r="D500" s="21" t="s">
        <v>18</v>
      </c>
      <c r="E500" s="21" t="s">
        <v>21</v>
      </c>
      <c r="F500" s="21" t="s">
        <v>18</v>
      </c>
      <c r="G500" s="21" t="s">
        <v>22</v>
      </c>
      <c r="H500" s="21" t="s">
        <v>19</v>
      </c>
      <c r="I500" s="21" t="s">
        <v>24</v>
      </c>
      <c r="J500" s="21" t="s">
        <v>18</v>
      </c>
      <c r="K500" s="21" t="s">
        <v>18</v>
      </c>
      <c r="L500" s="21" t="s">
        <v>22</v>
      </c>
      <c r="M500" s="21" t="s">
        <v>43</v>
      </c>
      <c r="N500" s="21" t="s">
        <v>43</v>
      </c>
      <c r="O500" s="21" t="s">
        <v>43</v>
      </c>
      <c r="P500" s="21" t="s">
        <v>43</v>
      </c>
      <c r="Q500" s="21" t="s">
        <v>43</v>
      </c>
      <c r="R500" s="133" t="s">
        <v>328</v>
      </c>
      <c r="S500" s="59" t="s">
        <v>0</v>
      </c>
      <c r="T500" s="134">
        <v>0</v>
      </c>
      <c r="U500" s="134">
        <v>0</v>
      </c>
      <c r="V500" s="134">
        <v>0</v>
      </c>
      <c r="W500" s="134">
        <v>0</v>
      </c>
      <c r="X500" s="134">
        <v>0</v>
      </c>
      <c r="Y500" s="134">
        <v>0</v>
      </c>
      <c r="Z500" s="134">
        <v>0</v>
      </c>
      <c r="AA500" s="24">
        <f t="shared" si="123"/>
        <v>0</v>
      </c>
      <c r="AB500" s="23">
        <v>2024</v>
      </c>
      <c r="AC500" s="33"/>
    </row>
    <row r="501" spans="1:34" s="135" customFormat="1" ht="31.15" hidden="1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2" t="s">
        <v>329</v>
      </c>
      <c r="S501" s="59" t="s">
        <v>31</v>
      </c>
      <c r="T501" s="134">
        <v>0</v>
      </c>
      <c r="U501" s="134">
        <v>0</v>
      </c>
      <c r="V501" s="134">
        <v>0</v>
      </c>
      <c r="W501" s="134">
        <v>0</v>
      </c>
      <c r="X501" s="134">
        <v>0</v>
      </c>
      <c r="Y501" s="134">
        <v>0</v>
      </c>
      <c r="Z501" s="134">
        <v>0</v>
      </c>
      <c r="AA501" s="24">
        <f t="shared" si="123"/>
        <v>0</v>
      </c>
      <c r="AB501" s="59">
        <v>2024</v>
      </c>
      <c r="AC501" s="110"/>
      <c r="AD501" s="136"/>
      <c r="AE501" s="137"/>
      <c r="AF501" s="137"/>
      <c r="AG501" s="137"/>
      <c r="AH501" s="138"/>
    </row>
    <row r="502" spans="1:34" ht="0.75" hidden="1" customHeight="1" x14ac:dyDescent="0.25">
      <c r="A502" s="50"/>
      <c r="B502" s="50"/>
      <c r="C502" s="50"/>
      <c r="D502" s="50" t="s">
        <v>18</v>
      </c>
      <c r="E502" s="50" t="s">
        <v>21</v>
      </c>
      <c r="F502" s="50" t="s">
        <v>18</v>
      </c>
      <c r="G502" s="50" t="s">
        <v>22</v>
      </c>
      <c r="H502" s="50" t="s">
        <v>18</v>
      </c>
      <c r="I502" s="50" t="s">
        <v>23</v>
      </c>
      <c r="J502" s="50" t="s">
        <v>18</v>
      </c>
      <c r="K502" s="50" t="s">
        <v>18</v>
      </c>
      <c r="L502" s="50" t="s">
        <v>20</v>
      </c>
      <c r="M502" s="50" t="s">
        <v>19</v>
      </c>
      <c r="N502" s="50" t="s">
        <v>18</v>
      </c>
      <c r="O502" s="50" t="s">
        <v>21</v>
      </c>
      <c r="P502" s="50" t="s">
        <v>21</v>
      </c>
      <c r="Q502" s="50" t="s">
        <v>18</v>
      </c>
      <c r="R502" s="163" t="s">
        <v>142</v>
      </c>
      <c r="S502" s="51" t="s">
        <v>0</v>
      </c>
      <c r="T502" s="1">
        <f t="shared" ref="T502:Y503" si="130">T505+T508+T511+T514</f>
        <v>1308.2000000000003</v>
      </c>
      <c r="U502" s="1">
        <f t="shared" si="130"/>
        <v>1308.2000000000003</v>
      </c>
      <c r="V502" s="1">
        <f t="shared" si="130"/>
        <v>1308.2000000000003</v>
      </c>
      <c r="W502" s="1">
        <f t="shared" si="130"/>
        <v>1308.2000000000003</v>
      </c>
      <c r="X502" s="1">
        <f t="shared" si="130"/>
        <v>1308.2000000000003</v>
      </c>
      <c r="Y502" s="1">
        <f t="shared" si="130"/>
        <v>1308.2000000000003</v>
      </c>
      <c r="Z502" s="1">
        <f t="shared" ref="Z502" si="131">Z505+Z508+Z511+Z514</f>
        <v>1308.2000000000003</v>
      </c>
      <c r="AA502" s="55">
        <f>T502+U502+V502+W502+X502+Y502</f>
        <v>7849.2000000000025</v>
      </c>
      <c r="AB502" s="65">
        <v>2016</v>
      </c>
      <c r="AC502" s="33"/>
      <c r="AD502" s="12"/>
      <c r="AE502" s="12"/>
    </row>
    <row r="503" spans="1:34" ht="41.25" customHeight="1" x14ac:dyDescent="0.25">
      <c r="A503" s="50"/>
      <c r="B503" s="50"/>
      <c r="C503" s="50"/>
      <c r="D503" s="50" t="s">
        <v>18</v>
      </c>
      <c r="E503" s="50" t="s">
        <v>24</v>
      </c>
      <c r="F503" s="50" t="s">
        <v>18</v>
      </c>
      <c r="G503" s="50" t="s">
        <v>21</v>
      </c>
      <c r="H503" s="50" t="s">
        <v>19</v>
      </c>
      <c r="I503" s="50" t="s">
        <v>24</v>
      </c>
      <c r="J503" s="50" t="s">
        <v>18</v>
      </c>
      <c r="K503" s="50" t="s">
        <v>18</v>
      </c>
      <c r="L503" s="50" t="s">
        <v>22</v>
      </c>
      <c r="M503" s="50" t="s">
        <v>19</v>
      </c>
      <c r="N503" s="50" t="s">
        <v>18</v>
      </c>
      <c r="O503" s="50" t="s">
        <v>21</v>
      </c>
      <c r="P503" s="50" t="s">
        <v>21</v>
      </c>
      <c r="Q503" s="50" t="s">
        <v>18</v>
      </c>
      <c r="R503" s="163"/>
      <c r="S503" s="54" t="s">
        <v>0</v>
      </c>
      <c r="T503" s="55">
        <f t="shared" si="130"/>
        <v>1399.4</v>
      </c>
      <c r="U503" s="55">
        <f>U506+U509+U512+U515+U519</f>
        <v>802.7</v>
      </c>
      <c r="V503" s="55">
        <f t="shared" si="130"/>
        <v>0</v>
      </c>
      <c r="W503" s="55">
        <f t="shared" si="130"/>
        <v>0</v>
      </c>
      <c r="X503" s="55">
        <f t="shared" si="130"/>
        <v>0</v>
      </c>
      <c r="Y503" s="55">
        <f t="shared" si="130"/>
        <v>0</v>
      </c>
      <c r="Z503" s="55">
        <f t="shared" ref="Z503" si="132">Z506+Z509+Z512+Z515</f>
        <v>0</v>
      </c>
      <c r="AA503" s="55">
        <f>SUM(T503:Z503)</f>
        <v>2202.1000000000004</v>
      </c>
      <c r="AB503" s="54">
        <v>2019</v>
      </c>
      <c r="AC503" s="110"/>
      <c r="AD503" s="12"/>
      <c r="AE503" s="12"/>
    </row>
    <row r="504" spans="1:34" ht="31.5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69" t="s">
        <v>143</v>
      </c>
      <c r="S504" s="139" t="s">
        <v>50</v>
      </c>
      <c r="T504" s="42">
        <f t="shared" ref="T504:Y504" si="133">T507+T510+T513+T518</f>
        <v>450</v>
      </c>
      <c r="U504" s="42">
        <f>U507+U510+U513+U518+U523</f>
        <v>450</v>
      </c>
      <c r="V504" s="42">
        <f t="shared" si="133"/>
        <v>0</v>
      </c>
      <c r="W504" s="42">
        <f t="shared" si="133"/>
        <v>0</v>
      </c>
      <c r="X504" s="42">
        <f t="shared" si="133"/>
        <v>0</v>
      </c>
      <c r="Y504" s="42">
        <f t="shared" si="133"/>
        <v>0</v>
      </c>
      <c r="Z504" s="42">
        <f t="shared" ref="Z504" si="134">Z507+Z510+Z513+Z518</f>
        <v>0</v>
      </c>
      <c r="AA504" s="45">
        <f>SUM(T504:Z504)</f>
        <v>900</v>
      </c>
      <c r="AB504" s="39">
        <v>2019</v>
      </c>
      <c r="AC504" s="33"/>
      <c r="AD504" s="12"/>
      <c r="AE504" s="12"/>
    </row>
    <row r="505" spans="1:34" ht="31.5" hidden="1" customHeight="1" x14ac:dyDescent="0.25">
      <c r="A505" s="50" t="s">
        <v>18</v>
      </c>
      <c r="B505" s="50" t="s">
        <v>18</v>
      </c>
      <c r="C505" s="50" t="s">
        <v>22</v>
      </c>
      <c r="D505" s="50" t="s">
        <v>18</v>
      </c>
      <c r="E505" s="50" t="s">
        <v>21</v>
      </c>
      <c r="F505" s="50" t="s">
        <v>18</v>
      </c>
      <c r="G505" s="50" t="s">
        <v>22</v>
      </c>
      <c r="H505" s="50" t="s">
        <v>18</v>
      </c>
      <c r="I505" s="50" t="s">
        <v>23</v>
      </c>
      <c r="J505" s="50" t="s">
        <v>18</v>
      </c>
      <c r="K505" s="50" t="s">
        <v>18</v>
      </c>
      <c r="L505" s="50" t="s">
        <v>20</v>
      </c>
      <c r="M505" s="50" t="s">
        <v>19</v>
      </c>
      <c r="N505" s="50" t="s">
        <v>18</v>
      </c>
      <c r="O505" s="50" t="s">
        <v>21</v>
      </c>
      <c r="P505" s="50" t="s">
        <v>21</v>
      </c>
      <c r="Q505" s="50" t="s">
        <v>18</v>
      </c>
      <c r="R505" s="167" t="s">
        <v>359</v>
      </c>
      <c r="S505" s="51" t="s">
        <v>0</v>
      </c>
      <c r="T505" s="1">
        <f t="shared" ref="T505:Z505" si="135">472.4-26.9</f>
        <v>445.5</v>
      </c>
      <c r="U505" s="1">
        <f t="shared" si="135"/>
        <v>445.5</v>
      </c>
      <c r="V505" s="1">
        <f t="shared" si="135"/>
        <v>445.5</v>
      </c>
      <c r="W505" s="1">
        <f t="shared" si="135"/>
        <v>445.5</v>
      </c>
      <c r="X505" s="1">
        <f t="shared" si="135"/>
        <v>445.5</v>
      </c>
      <c r="Y505" s="1">
        <f t="shared" si="135"/>
        <v>445.5</v>
      </c>
      <c r="Z505" s="1">
        <f t="shared" si="135"/>
        <v>445.5</v>
      </c>
      <c r="AA505" s="55">
        <f t="shared" ref="AA505:AA514" si="136">T505+U505+V505+W505+X505+Y505</f>
        <v>2673</v>
      </c>
      <c r="AB505" s="39">
        <v>2023</v>
      </c>
      <c r="AC505" s="33"/>
      <c r="AD505" s="12"/>
      <c r="AE505" s="12"/>
    </row>
    <row r="506" spans="1:34" ht="40.5" customHeight="1" x14ac:dyDescent="0.25">
      <c r="A506" s="50" t="s">
        <v>18</v>
      </c>
      <c r="B506" s="50" t="s">
        <v>18</v>
      </c>
      <c r="C506" s="50" t="s">
        <v>22</v>
      </c>
      <c r="D506" s="50" t="s">
        <v>18</v>
      </c>
      <c r="E506" s="50" t="s">
        <v>24</v>
      </c>
      <c r="F506" s="50" t="s">
        <v>18</v>
      </c>
      <c r="G506" s="50" t="s">
        <v>21</v>
      </c>
      <c r="H506" s="50" t="s">
        <v>19</v>
      </c>
      <c r="I506" s="50" t="s">
        <v>24</v>
      </c>
      <c r="J506" s="50" t="s">
        <v>18</v>
      </c>
      <c r="K506" s="50" t="s">
        <v>18</v>
      </c>
      <c r="L506" s="50" t="s">
        <v>22</v>
      </c>
      <c r="M506" s="50" t="s">
        <v>19</v>
      </c>
      <c r="N506" s="50" t="s">
        <v>18</v>
      </c>
      <c r="O506" s="50" t="s">
        <v>21</v>
      </c>
      <c r="P506" s="50" t="s">
        <v>21</v>
      </c>
      <c r="Q506" s="50" t="s">
        <v>18</v>
      </c>
      <c r="R506" s="167"/>
      <c r="S506" s="51" t="s">
        <v>0</v>
      </c>
      <c r="T506" s="1">
        <f t="shared" ref="T506" si="137">445.5+45.8</f>
        <v>491.3</v>
      </c>
      <c r="U506" s="1">
        <f>445.5+45.8+47.5-415.7</f>
        <v>123.09999999999997</v>
      </c>
      <c r="V506" s="1">
        <f>445.5+45.8+53.6-544.9</f>
        <v>0</v>
      </c>
      <c r="W506" s="1">
        <f t="shared" ref="W506:X506" si="138">445.5+45.8+53.6-544.9</f>
        <v>0</v>
      </c>
      <c r="X506" s="1">
        <f t="shared" si="138"/>
        <v>0</v>
      </c>
      <c r="Y506" s="1">
        <v>0</v>
      </c>
      <c r="Z506" s="1">
        <v>0</v>
      </c>
      <c r="AA506" s="55">
        <f>SUM(T506:Z506)</f>
        <v>614.4</v>
      </c>
      <c r="AB506" s="54">
        <v>2019</v>
      </c>
      <c r="AC506" s="110"/>
    </row>
    <row r="507" spans="1:34" ht="32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71" t="s">
        <v>145</v>
      </c>
      <c r="S507" s="139" t="s">
        <v>50</v>
      </c>
      <c r="T507" s="2">
        <v>158</v>
      </c>
      <c r="U507" s="42">
        <v>37</v>
      </c>
      <c r="V507" s="2">
        <f>154-154</f>
        <v>0</v>
      </c>
      <c r="W507" s="2">
        <v>0</v>
      </c>
      <c r="X507" s="2">
        <v>0</v>
      </c>
      <c r="Y507" s="2">
        <v>0</v>
      </c>
      <c r="Z507" s="2">
        <v>0</v>
      </c>
      <c r="AA507" s="45">
        <f>SUM(T507:Z507)</f>
        <v>195</v>
      </c>
      <c r="AB507" s="39">
        <v>2019</v>
      </c>
      <c r="AC507" s="33"/>
    </row>
    <row r="508" spans="1:34" ht="36" hidden="1" customHeight="1" x14ac:dyDescent="0.25">
      <c r="A508" s="50" t="s">
        <v>18</v>
      </c>
      <c r="B508" s="50" t="s">
        <v>18</v>
      </c>
      <c r="C508" s="50" t="s">
        <v>24</v>
      </c>
      <c r="D508" s="50" t="s">
        <v>18</v>
      </c>
      <c r="E508" s="50" t="s">
        <v>21</v>
      </c>
      <c r="F508" s="50" t="s">
        <v>18</v>
      </c>
      <c r="G508" s="50" t="s">
        <v>22</v>
      </c>
      <c r="H508" s="50" t="s">
        <v>18</v>
      </c>
      <c r="I508" s="50" t="s">
        <v>23</v>
      </c>
      <c r="J508" s="50" t="s">
        <v>18</v>
      </c>
      <c r="K508" s="50" t="s">
        <v>18</v>
      </c>
      <c r="L508" s="50" t="s">
        <v>20</v>
      </c>
      <c r="M508" s="50" t="s">
        <v>19</v>
      </c>
      <c r="N508" s="50" t="s">
        <v>18</v>
      </c>
      <c r="O508" s="50" t="s">
        <v>21</v>
      </c>
      <c r="P508" s="50" t="s">
        <v>21</v>
      </c>
      <c r="Q508" s="50" t="s">
        <v>18</v>
      </c>
      <c r="R508" s="169" t="s">
        <v>144</v>
      </c>
      <c r="S508" s="51" t="s">
        <v>0</v>
      </c>
      <c r="T508" s="1">
        <f t="shared" ref="T508:Z508" si="139">302-17.3</f>
        <v>284.7</v>
      </c>
      <c r="U508" s="1">
        <f t="shared" si="139"/>
        <v>284.7</v>
      </c>
      <c r="V508" s="1">
        <f t="shared" si="139"/>
        <v>284.7</v>
      </c>
      <c r="W508" s="1">
        <f t="shared" si="139"/>
        <v>284.7</v>
      </c>
      <c r="X508" s="1">
        <f t="shared" si="139"/>
        <v>284.7</v>
      </c>
      <c r="Y508" s="1">
        <f t="shared" si="139"/>
        <v>284.7</v>
      </c>
      <c r="Z508" s="1">
        <f t="shared" si="139"/>
        <v>284.7</v>
      </c>
      <c r="AA508" s="55">
        <f t="shared" si="136"/>
        <v>1708.2</v>
      </c>
      <c r="AB508" s="39">
        <v>2023</v>
      </c>
      <c r="AC508" s="33"/>
    </row>
    <row r="509" spans="1:34" ht="39.75" customHeight="1" x14ac:dyDescent="0.25">
      <c r="A509" s="50" t="s">
        <v>18</v>
      </c>
      <c r="B509" s="50" t="s">
        <v>18</v>
      </c>
      <c r="C509" s="50" t="s">
        <v>24</v>
      </c>
      <c r="D509" s="50" t="s">
        <v>18</v>
      </c>
      <c r="E509" s="50" t="s">
        <v>24</v>
      </c>
      <c r="F509" s="50" t="s">
        <v>18</v>
      </c>
      <c r="G509" s="50" t="s">
        <v>21</v>
      </c>
      <c r="H509" s="50" t="s">
        <v>19</v>
      </c>
      <c r="I509" s="50" t="s">
        <v>24</v>
      </c>
      <c r="J509" s="50" t="s">
        <v>18</v>
      </c>
      <c r="K509" s="50" t="s">
        <v>18</v>
      </c>
      <c r="L509" s="50" t="s">
        <v>22</v>
      </c>
      <c r="M509" s="50" t="s">
        <v>19</v>
      </c>
      <c r="N509" s="50" t="s">
        <v>18</v>
      </c>
      <c r="O509" s="50" t="s">
        <v>21</v>
      </c>
      <c r="P509" s="50" t="s">
        <v>21</v>
      </c>
      <c r="Q509" s="50" t="s">
        <v>18</v>
      </c>
      <c r="R509" s="169"/>
      <c r="S509" s="51" t="s">
        <v>0</v>
      </c>
      <c r="T509" s="1">
        <f t="shared" ref="T509" si="140">284.7-29.7</f>
        <v>255</v>
      </c>
      <c r="U509" s="1">
        <f>284.7-29.7+24.6-218.9</f>
        <v>60.700000000000017</v>
      </c>
      <c r="V509" s="1">
        <f>284.7-29.7+27.8-282.8</f>
        <v>0</v>
      </c>
      <c r="W509" s="1">
        <v>0</v>
      </c>
      <c r="X509" s="1">
        <v>0</v>
      </c>
      <c r="Y509" s="1">
        <v>0</v>
      </c>
      <c r="Z509" s="1">
        <v>0</v>
      </c>
      <c r="AA509" s="55">
        <f>SUM(T509:Z509)</f>
        <v>315.70000000000005</v>
      </c>
      <c r="AB509" s="54">
        <v>2019</v>
      </c>
      <c r="AC509" s="110"/>
    </row>
    <row r="510" spans="1:34" ht="36.7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71" t="s">
        <v>146</v>
      </c>
      <c r="S510" s="139" t="s">
        <v>50</v>
      </c>
      <c r="T510" s="2">
        <v>82</v>
      </c>
      <c r="U510" s="42">
        <v>20</v>
      </c>
      <c r="V510" s="2">
        <f>82-82</f>
        <v>0</v>
      </c>
      <c r="W510" s="2">
        <v>0</v>
      </c>
      <c r="X510" s="2">
        <v>0</v>
      </c>
      <c r="Y510" s="2">
        <v>0</v>
      </c>
      <c r="Z510" s="2">
        <v>0</v>
      </c>
      <c r="AA510" s="45">
        <f>SUM(T510:Z510)</f>
        <v>102</v>
      </c>
      <c r="AB510" s="39">
        <v>2019</v>
      </c>
      <c r="AC510" s="33"/>
    </row>
    <row r="511" spans="1:34" ht="5.25" hidden="1" customHeight="1" x14ac:dyDescent="0.25">
      <c r="A511" s="50" t="s">
        <v>18</v>
      </c>
      <c r="B511" s="50" t="s">
        <v>18</v>
      </c>
      <c r="C511" s="50" t="s">
        <v>21</v>
      </c>
      <c r="D511" s="50" t="s">
        <v>18</v>
      </c>
      <c r="E511" s="50" t="s">
        <v>21</v>
      </c>
      <c r="F511" s="50" t="s">
        <v>18</v>
      </c>
      <c r="G511" s="50" t="s">
        <v>22</v>
      </c>
      <c r="H511" s="50" t="s">
        <v>18</v>
      </c>
      <c r="I511" s="50" t="s">
        <v>23</v>
      </c>
      <c r="J511" s="50" t="s">
        <v>18</v>
      </c>
      <c r="K511" s="50" t="s">
        <v>18</v>
      </c>
      <c r="L511" s="50" t="s">
        <v>20</v>
      </c>
      <c r="M511" s="50" t="s">
        <v>19</v>
      </c>
      <c r="N511" s="50" t="s">
        <v>18</v>
      </c>
      <c r="O511" s="50" t="s">
        <v>21</v>
      </c>
      <c r="P511" s="50" t="s">
        <v>21</v>
      </c>
      <c r="Q511" s="50" t="s">
        <v>18</v>
      </c>
      <c r="R511" s="169" t="s">
        <v>144</v>
      </c>
      <c r="S511" s="51" t="s">
        <v>0</v>
      </c>
      <c r="T511" s="1">
        <f t="shared" ref="T511:Z511" si="141">398.8-22.7</f>
        <v>376.1</v>
      </c>
      <c r="U511" s="1">
        <f t="shared" si="141"/>
        <v>376.1</v>
      </c>
      <c r="V511" s="1">
        <f t="shared" si="141"/>
        <v>376.1</v>
      </c>
      <c r="W511" s="1">
        <f t="shared" si="141"/>
        <v>376.1</v>
      </c>
      <c r="X511" s="1">
        <f t="shared" si="141"/>
        <v>376.1</v>
      </c>
      <c r="Y511" s="1">
        <f t="shared" si="141"/>
        <v>376.1</v>
      </c>
      <c r="Z511" s="1">
        <f t="shared" si="141"/>
        <v>376.1</v>
      </c>
      <c r="AA511" s="55">
        <f t="shared" si="136"/>
        <v>2256.6</v>
      </c>
      <c r="AB511" s="39">
        <v>2023</v>
      </c>
      <c r="AC511" s="33"/>
    </row>
    <row r="512" spans="1:34" ht="38.25" customHeight="1" x14ac:dyDescent="0.25">
      <c r="A512" s="50" t="s">
        <v>18</v>
      </c>
      <c r="B512" s="50" t="s">
        <v>18</v>
      </c>
      <c r="C512" s="50" t="s">
        <v>21</v>
      </c>
      <c r="D512" s="50" t="s">
        <v>18</v>
      </c>
      <c r="E512" s="50" t="s">
        <v>24</v>
      </c>
      <c r="F512" s="50" t="s">
        <v>18</v>
      </c>
      <c r="G512" s="50" t="s">
        <v>21</v>
      </c>
      <c r="H512" s="50" t="s">
        <v>19</v>
      </c>
      <c r="I512" s="50" t="s">
        <v>24</v>
      </c>
      <c r="J512" s="50" t="s">
        <v>18</v>
      </c>
      <c r="K512" s="50" t="s">
        <v>18</v>
      </c>
      <c r="L512" s="50" t="s">
        <v>22</v>
      </c>
      <c r="M512" s="50" t="s">
        <v>19</v>
      </c>
      <c r="N512" s="50" t="s">
        <v>18</v>
      </c>
      <c r="O512" s="50" t="s">
        <v>21</v>
      </c>
      <c r="P512" s="50" t="s">
        <v>21</v>
      </c>
      <c r="Q512" s="50" t="s">
        <v>18</v>
      </c>
      <c r="R512" s="169"/>
      <c r="S512" s="51" t="s">
        <v>0</v>
      </c>
      <c r="T512" s="1">
        <f t="shared" ref="T512" si="142">376.1+59.3</f>
        <v>435.40000000000003</v>
      </c>
      <c r="U512" s="1">
        <f>376.1+59.3+42-370.4</f>
        <v>107.00000000000006</v>
      </c>
      <c r="V512" s="1">
        <f>376.1+59.3+47.5-482.9</f>
        <v>0</v>
      </c>
      <c r="W512" s="1">
        <v>0</v>
      </c>
      <c r="X512" s="1">
        <v>0</v>
      </c>
      <c r="Y512" s="1">
        <v>0</v>
      </c>
      <c r="Z512" s="1">
        <v>0</v>
      </c>
      <c r="AA512" s="55">
        <f>SUM(T512:Z512)</f>
        <v>542.40000000000009</v>
      </c>
      <c r="AB512" s="54">
        <v>2019</v>
      </c>
      <c r="AC512" s="33"/>
    </row>
    <row r="513" spans="1:29" ht="36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71" t="s">
        <v>147</v>
      </c>
      <c r="S513" s="139" t="s">
        <v>50</v>
      </c>
      <c r="T513" s="2">
        <v>140</v>
      </c>
      <c r="U513" s="42">
        <v>31</v>
      </c>
      <c r="V513" s="2">
        <f>141-141</f>
        <v>0</v>
      </c>
      <c r="W513" s="2">
        <v>0</v>
      </c>
      <c r="X513" s="2">
        <v>0</v>
      </c>
      <c r="Y513" s="2">
        <v>0</v>
      </c>
      <c r="Z513" s="2">
        <v>0</v>
      </c>
      <c r="AA513" s="45">
        <f>SUM(T513:Z513)</f>
        <v>171</v>
      </c>
      <c r="AB513" s="39">
        <v>2019</v>
      </c>
      <c r="AC513" s="33"/>
    </row>
    <row r="514" spans="1:29" ht="35.25" hidden="1" customHeight="1" x14ac:dyDescent="0.25">
      <c r="A514" s="50" t="s">
        <v>18</v>
      </c>
      <c r="B514" s="50" t="s">
        <v>18</v>
      </c>
      <c r="C514" s="50" t="s">
        <v>25</v>
      </c>
      <c r="D514" s="50" t="s">
        <v>18</v>
      </c>
      <c r="E514" s="50" t="s">
        <v>21</v>
      </c>
      <c r="F514" s="50" t="s">
        <v>18</v>
      </c>
      <c r="G514" s="50" t="s">
        <v>22</v>
      </c>
      <c r="H514" s="50" t="s">
        <v>18</v>
      </c>
      <c r="I514" s="50" t="s">
        <v>23</v>
      </c>
      <c r="J514" s="50" t="s">
        <v>18</v>
      </c>
      <c r="K514" s="50" t="s">
        <v>18</v>
      </c>
      <c r="L514" s="50" t="s">
        <v>20</v>
      </c>
      <c r="M514" s="50" t="s">
        <v>19</v>
      </c>
      <c r="N514" s="50" t="s">
        <v>18</v>
      </c>
      <c r="O514" s="50" t="s">
        <v>21</v>
      </c>
      <c r="P514" s="50" t="s">
        <v>21</v>
      </c>
      <c r="Q514" s="50" t="s">
        <v>18</v>
      </c>
      <c r="R514" s="169" t="s">
        <v>144</v>
      </c>
      <c r="S514" s="51" t="s">
        <v>0</v>
      </c>
      <c r="T514" s="1">
        <f t="shared" ref="T514:Z514" si="143">214.1-12.2</f>
        <v>201.9</v>
      </c>
      <c r="U514" s="1">
        <f t="shared" si="143"/>
        <v>201.9</v>
      </c>
      <c r="V514" s="1">
        <f t="shared" si="143"/>
        <v>201.9</v>
      </c>
      <c r="W514" s="1">
        <f t="shared" si="143"/>
        <v>201.9</v>
      </c>
      <c r="X514" s="1">
        <f t="shared" si="143"/>
        <v>201.9</v>
      </c>
      <c r="Y514" s="1">
        <f t="shared" si="143"/>
        <v>201.9</v>
      </c>
      <c r="Z514" s="1">
        <f t="shared" si="143"/>
        <v>201.9</v>
      </c>
      <c r="AA514" s="55">
        <f t="shared" si="136"/>
        <v>1211.4000000000001</v>
      </c>
      <c r="AB514" s="39">
        <v>2023</v>
      </c>
    </row>
    <row r="515" spans="1:29" ht="38.25" customHeight="1" x14ac:dyDescent="0.25">
      <c r="A515" s="50" t="s">
        <v>18</v>
      </c>
      <c r="B515" s="50" t="s">
        <v>18</v>
      </c>
      <c r="C515" s="50" t="s">
        <v>25</v>
      </c>
      <c r="D515" s="50" t="s">
        <v>18</v>
      </c>
      <c r="E515" s="50" t="s">
        <v>24</v>
      </c>
      <c r="F515" s="50" t="s">
        <v>18</v>
      </c>
      <c r="G515" s="50" t="s">
        <v>21</v>
      </c>
      <c r="H515" s="50" t="s">
        <v>19</v>
      </c>
      <c r="I515" s="50" t="s">
        <v>24</v>
      </c>
      <c r="J515" s="50" t="s">
        <v>18</v>
      </c>
      <c r="K515" s="50" t="s">
        <v>18</v>
      </c>
      <c r="L515" s="50" t="s">
        <v>22</v>
      </c>
      <c r="M515" s="50" t="s">
        <v>19</v>
      </c>
      <c r="N515" s="50" t="s">
        <v>18</v>
      </c>
      <c r="O515" s="50" t="s">
        <v>21</v>
      </c>
      <c r="P515" s="50" t="s">
        <v>21</v>
      </c>
      <c r="Q515" s="50" t="s">
        <v>18</v>
      </c>
      <c r="R515" s="169"/>
      <c r="S515" s="51" t="s">
        <v>0</v>
      </c>
      <c r="T515" s="1">
        <f>201.9+15.8</f>
        <v>217.70000000000002</v>
      </c>
      <c r="U515" s="1">
        <f>201.9+15.8+1.7+19.3-186.2</f>
        <v>52.500000000000028</v>
      </c>
      <c r="V515" s="1">
        <f>201.9+15.8+1.7+22.1-241.5</f>
        <v>0</v>
      </c>
      <c r="W515" s="1">
        <v>0</v>
      </c>
      <c r="X515" s="1">
        <v>0</v>
      </c>
      <c r="Y515" s="1">
        <v>0</v>
      </c>
      <c r="Z515" s="1">
        <v>0</v>
      </c>
      <c r="AA515" s="55">
        <f>SUM(T515:Z515)</f>
        <v>270.20000000000005</v>
      </c>
      <c r="AB515" s="54">
        <v>2019</v>
      </c>
      <c r="AC515" s="33"/>
    </row>
    <row r="516" spans="1:29" ht="49.5" hidden="1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69" t="s">
        <v>148</v>
      </c>
      <c r="S516" s="39" t="s">
        <v>8</v>
      </c>
      <c r="T516" s="2">
        <v>56</v>
      </c>
      <c r="U516" s="2">
        <v>56</v>
      </c>
      <c r="V516" s="2">
        <v>56</v>
      </c>
      <c r="W516" s="2">
        <v>56</v>
      </c>
      <c r="X516" s="2">
        <v>56</v>
      </c>
      <c r="Y516" s="2">
        <v>56</v>
      </c>
      <c r="Z516" s="2">
        <v>56</v>
      </c>
      <c r="AA516" s="45">
        <f>T516+U516+V516+W516+X516+Y516+Z516</f>
        <v>392</v>
      </c>
      <c r="AB516" s="39">
        <v>2024</v>
      </c>
    </row>
    <row r="517" spans="1:29" ht="64.5" hidden="1" customHeight="1" x14ac:dyDescent="0.25">
      <c r="A517" s="50" t="s">
        <v>18</v>
      </c>
      <c r="B517" s="50" t="s">
        <v>19</v>
      </c>
      <c r="C517" s="50" t="s">
        <v>24</v>
      </c>
      <c r="D517" s="50" t="s">
        <v>18</v>
      </c>
      <c r="E517" s="50" t="s">
        <v>21</v>
      </c>
      <c r="F517" s="50" t="s">
        <v>18</v>
      </c>
      <c r="G517" s="50" t="s">
        <v>22</v>
      </c>
      <c r="H517" s="50" t="s">
        <v>18</v>
      </c>
      <c r="I517" s="50" t="s">
        <v>23</v>
      </c>
      <c r="J517" s="50" t="s">
        <v>18</v>
      </c>
      <c r="K517" s="50" t="s">
        <v>18</v>
      </c>
      <c r="L517" s="50" t="s">
        <v>22</v>
      </c>
      <c r="M517" s="50" t="s">
        <v>18</v>
      </c>
      <c r="N517" s="50" t="s">
        <v>22</v>
      </c>
      <c r="O517" s="50" t="s">
        <v>22</v>
      </c>
      <c r="P517" s="50" t="s">
        <v>18</v>
      </c>
      <c r="Q517" s="50" t="s">
        <v>22</v>
      </c>
      <c r="R517" s="68" t="s">
        <v>149</v>
      </c>
      <c r="S517" s="51" t="s">
        <v>0</v>
      </c>
      <c r="T517" s="1"/>
      <c r="U517" s="1"/>
      <c r="V517" s="1"/>
      <c r="W517" s="1"/>
      <c r="X517" s="1"/>
      <c r="Y517" s="1"/>
      <c r="Z517" s="1"/>
      <c r="AA517" s="55">
        <f>T517+U517+V517+W517+X517+Y517</f>
        <v>0</v>
      </c>
      <c r="AB517" s="139">
        <v>2020</v>
      </c>
    </row>
    <row r="518" spans="1:29" ht="36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71" t="s">
        <v>148</v>
      </c>
      <c r="S518" s="139" t="s">
        <v>50</v>
      </c>
      <c r="T518" s="42">
        <v>70</v>
      </c>
      <c r="U518" s="42">
        <v>15</v>
      </c>
      <c r="V518" s="42">
        <f>68-68</f>
        <v>0</v>
      </c>
      <c r="W518" s="42">
        <v>0</v>
      </c>
      <c r="X518" s="42">
        <v>0</v>
      </c>
      <c r="Y518" s="42">
        <v>0</v>
      </c>
      <c r="Z518" s="42">
        <v>0</v>
      </c>
      <c r="AA518" s="43">
        <f t="shared" ref="AA518:AA523" si="144">SUM(T518:Z518)</f>
        <v>85</v>
      </c>
      <c r="AB518" s="39">
        <v>2019</v>
      </c>
      <c r="AC518" s="33"/>
    </row>
    <row r="519" spans="1:29" s="121" customFormat="1" ht="31.5" hidden="1" x14ac:dyDescent="0.2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163" t="s">
        <v>309</v>
      </c>
      <c r="S519" s="51" t="s">
        <v>0</v>
      </c>
      <c r="T519" s="1">
        <v>0</v>
      </c>
      <c r="U519" s="1">
        <f>U520+U521</f>
        <v>459.4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55">
        <f t="shared" si="144"/>
        <v>459.4</v>
      </c>
      <c r="AB519" s="51">
        <v>2019</v>
      </c>
      <c r="AC519" s="120"/>
    </row>
    <row r="520" spans="1:29" s="121" customFormat="1" ht="45.75" customHeight="1" x14ac:dyDescent="0.25">
      <c r="A520" s="50" t="s">
        <v>18</v>
      </c>
      <c r="B520" s="50" t="s">
        <v>19</v>
      </c>
      <c r="C520" s="50" t="s">
        <v>20</v>
      </c>
      <c r="D520" s="50" t="s">
        <v>18</v>
      </c>
      <c r="E520" s="50" t="s">
        <v>24</v>
      </c>
      <c r="F520" s="50" t="s">
        <v>18</v>
      </c>
      <c r="G520" s="50" t="s">
        <v>21</v>
      </c>
      <c r="H520" s="50" t="s">
        <v>19</v>
      </c>
      <c r="I520" s="50" t="s">
        <v>24</v>
      </c>
      <c r="J520" s="50" t="s">
        <v>18</v>
      </c>
      <c r="K520" s="50" t="s">
        <v>18</v>
      </c>
      <c r="L520" s="50" t="s">
        <v>22</v>
      </c>
      <c r="M520" s="50" t="s">
        <v>19</v>
      </c>
      <c r="N520" s="50" t="s">
        <v>18</v>
      </c>
      <c r="O520" s="50" t="s">
        <v>21</v>
      </c>
      <c r="P520" s="50" t="s">
        <v>21</v>
      </c>
      <c r="Q520" s="50" t="s">
        <v>18</v>
      </c>
      <c r="R520" s="163"/>
      <c r="S520" s="51" t="s">
        <v>0</v>
      </c>
      <c r="T520" s="1">
        <v>0</v>
      </c>
      <c r="U520" s="1">
        <v>459.4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55">
        <f t="shared" si="144"/>
        <v>459.4</v>
      </c>
      <c r="AB520" s="51">
        <v>2019</v>
      </c>
      <c r="AC520" s="120"/>
    </row>
    <row r="521" spans="1:29" s="121" customFormat="1" ht="31.5" hidden="1" x14ac:dyDescent="0.25">
      <c r="A521" s="50" t="s">
        <v>18</v>
      </c>
      <c r="B521" s="50" t="s">
        <v>19</v>
      </c>
      <c r="C521" s="50" t="s">
        <v>20</v>
      </c>
      <c r="D521" s="50" t="s">
        <v>18</v>
      </c>
      <c r="E521" s="50" t="s">
        <v>24</v>
      </c>
      <c r="F521" s="50" t="s">
        <v>18</v>
      </c>
      <c r="G521" s="50" t="s">
        <v>21</v>
      </c>
      <c r="H521" s="50" t="s">
        <v>19</v>
      </c>
      <c r="I521" s="50" t="s">
        <v>24</v>
      </c>
      <c r="J521" s="50" t="s">
        <v>18</v>
      </c>
      <c r="K521" s="50" t="s">
        <v>18</v>
      </c>
      <c r="L521" s="50" t="s">
        <v>22</v>
      </c>
      <c r="M521" s="50" t="s">
        <v>18</v>
      </c>
      <c r="N521" s="50" t="s">
        <v>18</v>
      </c>
      <c r="O521" s="50" t="s">
        <v>18</v>
      </c>
      <c r="P521" s="50" t="s">
        <v>18</v>
      </c>
      <c r="Q521" s="50" t="s">
        <v>18</v>
      </c>
      <c r="R521" s="163"/>
      <c r="S521" s="51" t="s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55">
        <f t="shared" si="144"/>
        <v>0</v>
      </c>
      <c r="AB521" s="51">
        <v>2019</v>
      </c>
      <c r="AC521" s="120"/>
    </row>
    <row r="522" spans="1:29" s="64" customFormat="1" ht="49.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 t="s">
        <v>291</v>
      </c>
      <c r="N522" s="38"/>
      <c r="O522" s="38"/>
      <c r="P522" s="38"/>
      <c r="Q522" s="38"/>
      <c r="R522" s="69" t="s">
        <v>290</v>
      </c>
      <c r="S522" s="39" t="s">
        <v>257</v>
      </c>
      <c r="T522" s="42">
        <v>0</v>
      </c>
      <c r="U522" s="42">
        <v>175</v>
      </c>
      <c r="V522" s="42">
        <v>0</v>
      </c>
      <c r="W522" s="42">
        <v>0</v>
      </c>
      <c r="X522" s="42">
        <v>0</v>
      </c>
      <c r="Y522" s="42">
        <v>0</v>
      </c>
      <c r="Z522" s="42">
        <v>0</v>
      </c>
      <c r="AA522" s="45">
        <f t="shared" si="144"/>
        <v>175</v>
      </c>
      <c r="AB522" s="39">
        <v>2019</v>
      </c>
      <c r="AC522" s="101"/>
    </row>
    <row r="523" spans="1:29" s="64" customFormat="1" ht="36.7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69" t="s">
        <v>272</v>
      </c>
      <c r="S523" s="39" t="s">
        <v>50</v>
      </c>
      <c r="T523" s="42">
        <v>0</v>
      </c>
      <c r="U523" s="42">
        <v>347</v>
      </c>
      <c r="V523" s="42">
        <v>0</v>
      </c>
      <c r="W523" s="42">
        <v>0</v>
      </c>
      <c r="X523" s="42">
        <v>0</v>
      </c>
      <c r="Y523" s="42">
        <v>0</v>
      </c>
      <c r="Z523" s="42">
        <v>0</v>
      </c>
      <c r="AA523" s="45">
        <f t="shared" si="144"/>
        <v>347</v>
      </c>
      <c r="AB523" s="39">
        <v>2019</v>
      </c>
      <c r="AC523" s="101"/>
    </row>
    <row r="524" spans="1:29" ht="57" customHeight="1" x14ac:dyDescent="0.25">
      <c r="A524" s="50"/>
      <c r="B524" s="50"/>
      <c r="C524" s="50"/>
      <c r="D524" s="50" t="s">
        <v>18</v>
      </c>
      <c r="E524" s="50" t="s">
        <v>21</v>
      </c>
      <c r="F524" s="50" t="s">
        <v>18</v>
      </c>
      <c r="G524" s="50" t="s">
        <v>22</v>
      </c>
      <c r="H524" s="50" t="s">
        <v>19</v>
      </c>
      <c r="I524" s="50" t="s">
        <v>24</v>
      </c>
      <c r="J524" s="50" t="s">
        <v>18</v>
      </c>
      <c r="K524" s="50" t="s">
        <v>18</v>
      </c>
      <c r="L524" s="50" t="s">
        <v>22</v>
      </c>
      <c r="M524" s="50" t="s">
        <v>43</v>
      </c>
      <c r="N524" s="50" t="s">
        <v>43</v>
      </c>
      <c r="O524" s="50" t="s">
        <v>43</v>
      </c>
      <c r="P524" s="50" t="s">
        <v>43</v>
      </c>
      <c r="Q524" s="50" t="s">
        <v>43</v>
      </c>
      <c r="R524" s="68" t="s">
        <v>150</v>
      </c>
      <c r="S524" s="54" t="s">
        <v>0</v>
      </c>
      <c r="T524" s="55">
        <f t="shared" ref="T524:Y525" si="145">T526+T528+T530+T532</f>
        <v>69.999999999999986</v>
      </c>
      <c r="U524" s="55">
        <f t="shared" si="145"/>
        <v>25.8</v>
      </c>
      <c r="V524" s="55">
        <f t="shared" si="145"/>
        <v>57.699999999999996</v>
      </c>
      <c r="W524" s="55">
        <f t="shared" si="145"/>
        <v>0</v>
      </c>
      <c r="X524" s="55">
        <f t="shared" si="145"/>
        <v>0</v>
      </c>
      <c r="Y524" s="55">
        <f t="shared" si="145"/>
        <v>0</v>
      </c>
      <c r="Z524" s="55">
        <f t="shared" ref="Z524" si="146">Z526+Z528+Z530+Z532</f>
        <v>0</v>
      </c>
      <c r="AA524" s="55">
        <f>AA526+AA528+AA530+AA532</f>
        <v>153.5</v>
      </c>
      <c r="AB524" s="54">
        <v>2020</v>
      </c>
      <c r="AC524" s="110"/>
    </row>
    <row r="525" spans="1:29" ht="4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71" t="s">
        <v>151</v>
      </c>
      <c r="S525" s="139" t="s">
        <v>38</v>
      </c>
      <c r="T525" s="42">
        <f t="shared" si="145"/>
        <v>27</v>
      </c>
      <c r="U525" s="42">
        <f t="shared" si="145"/>
        <v>4</v>
      </c>
      <c r="V525" s="42">
        <f t="shared" si="145"/>
        <v>16</v>
      </c>
      <c r="W525" s="42">
        <f t="shared" si="145"/>
        <v>0</v>
      </c>
      <c r="X525" s="42">
        <f t="shared" si="145"/>
        <v>0</v>
      </c>
      <c r="Y525" s="42">
        <f t="shared" si="145"/>
        <v>0</v>
      </c>
      <c r="Z525" s="42">
        <f>Z527+Z529+Z531+Z533</f>
        <v>0</v>
      </c>
      <c r="AA525" s="45">
        <f>T525+U525+V525+W525+X525+Y525+Z525</f>
        <v>47</v>
      </c>
      <c r="AB525" s="39">
        <v>2020</v>
      </c>
      <c r="AC525" s="33"/>
    </row>
    <row r="526" spans="1:29" ht="61.5" customHeight="1" x14ac:dyDescent="0.25">
      <c r="A526" s="50" t="s">
        <v>18</v>
      </c>
      <c r="B526" s="50" t="s">
        <v>18</v>
      </c>
      <c r="C526" s="50" t="s">
        <v>22</v>
      </c>
      <c r="D526" s="50" t="s">
        <v>18</v>
      </c>
      <c r="E526" s="50" t="s">
        <v>21</v>
      </c>
      <c r="F526" s="50" t="s">
        <v>18</v>
      </c>
      <c r="G526" s="50" t="s">
        <v>22</v>
      </c>
      <c r="H526" s="50" t="s">
        <v>19</v>
      </c>
      <c r="I526" s="50" t="s">
        <v>24</v>
      </c>
      <c r="J526" s="50" t="s">
        <v>18</v>
      </c>
      <c r="K526" s="50" t="s">
        <v>18</v>
      </c>
      <c r="L526" s="50" t="s">
        <v>22</v>
      </c>
      <c r="M526" s="50" t="s">
        <v>43</v>
      </c>
      <c r="N526" s="50" t="s">
        <v>43</v>
      </c>
      <c r="O526" s="50" t="s">
        <v>43</v>
      </c>
      <c r="P526" s="50" t="s">
        <v>43</v>
      </c>
      <c r="Q526" s="50" t="s">
        <v>43</v>
      </c>
      <c r="R526" s="68" t="s">
        <v>152</v>
      </c>
      <c r="S526" s="51" t="s">
        <v>0</v>
      </c>
      <c r="T526" s="1">
        <f>18.2-1.8-10.9</f>
        <v>5.4999999999999982</v>
      </c>
      <c r="U526" s="1">
        <v>18.2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55">
        <f t="shared" ref="AA526:AA533" si="147">T526+U526+V526+W526+X526+Y526+Z526</f>
        <v>23.699999999999996</v>
      </c>
      <c r="AB526" s="54">
        <v>2019</v>
      </c>
      <c r="AC526" s="110"/>
    </row>
    <row r="527" spans="1:29" ht="47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71" t="s">
        <v>153</v>
      </c>
      <c r="S527" s="139" t="s">
        <v>38</v>
      </c>
      <c r="T527" s="73">
        <v>2</v>
      </c>
      <c r="U527" s="73">
        <v>2</v>
      </c>
      <c r="V527" s="73">
        <v>0</v>
      </c>
      <c r="W527" s="73">
        <v>0</v>
      </c>
      <c r="X527" s="73">
        <v>0</v>
      </c>
      <c r="Y527" s="73">
        <v>0</v>
      </c>
      <c r="Z527" s="73">
        <v>0</v>
      </c>
      <c r="AA527" s="88">
        <f t="shared" si="147"/>
        <v>4</v>
      </c>
      <c r="AB527" s="39">
        <v>2019</v>
      </c>
      <c r="AC527" s="33"/>
    </row>
    <row r="528" spans="1:29" ht="57.75" customHeight="1" x14ac:dyDescent="0.25">
      <c r="A528" s="50" t="s">
        <v>18</v>
      </c>
      <c r="B528" s="50" t="s">
        <v>18</v>
      </c>
      <c r="C528" s="50" t="s">
        <v>24</v>
      </c>
      <c r="D528" s="50" t="s">
        <v>18</v>
      </c>
      <c r="E528" s="50" t="s">
        <v>21</v>
      </c>
      <c r="F528" s="50" t="s">
        <v>18</v>
      </c>
      <c r="G528" s="50" t="s">
        <v>22</v>
      </c>
      <c r="H528" s="50" t="s">
        <v>19</v>
      </c>
      <c r="I528" s="50" t="s">
        <v>24</v>
      </c>
      <c r="J528" s="50" t="s">
        <v>18</v>
      </c>
      <c r="K528" s="50" t="s">
        <v>18</v>
      </c>
      <c r="L528" s="50" t="s">
        <v>22</v>
      </c>
      <c r="M528" s="50" t="s">
        <v>43</v>
      </c>
      <c r="N528" s="50" t="s">
        <v>43</v>
      </c>
      <c r="O528" s="50" t="s">
        <v>43</v>
      </c>
      <c r="P528" s="50" t="s">
        <v>43</v>
      </c>
      <c r="Q528" s="50" t="s">
        <v>43</v>
      </c>
      <c r="R528" s="68" t="s">
        <v>152</v>
      </c>
      <c r="S528" s="51" t="s">
        <v>0</v>
      </c>
      <c r="T528" s="1">
        <f>72.8-43.1</f>
        <v>29.699999999999996</v>
      </c>
      <c r="U528" s="1">
        <f>31.8-31.8</f>
        <v>0</v>
      </c>
      <c r="V528" s="1">
        <v>31.8</v>
      </c>
      <c r="W528" s="1">
        <v>0</v>
      </c>
      <c r="X528" s="1">
        <v>0</v>
      </c>
      <c r="Y528" s="1">
        <v>0</v>
      </c>
      <c r="Z528" s="1">
        <v>0</v>
      </c>
      <c r="AA528" s="55">
        <f t="shared" si="147"/>
        <v>61.5</v>
      </c>
      <c r="AB528" s="54">
        <v>2020</v>
      </c>
      <c r="AC528" s="110"/>
    </row>
    <row r="529" spans="1:33" ht="47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71" t="s">
        <v>154</v>
      </c>
      <c r="S529" s="139" t="s">
        <v>38</v>
      </c>
      <c r="T529" s="73">
        <v>10</v>
      </c>
      <c r="U529" s="73">
        <v>0</v>
      </c>
      <c r="V529" s="73">
        <v>10</v>
      </c>
      <c r="W529" s="73">
        <v>0</v>
      </c>
      <c r="X529" s="73">
        <v>0</v>
      </c>
      <c r="Y529" s="73">
        <v>0</v>
      </c>
      <c r="Z529" s="73">
        <v>0</v>
      </c>
      <c r="AA529" s="88">
        <f t="shared" si="147"/>
        <v>20</v>
      </c>
      <c r="AB529" s="39">
        <v>2020</v>
      </c>
      <c r="AC529" s="33"/>
    </row>
    <row r="530" spans="1:33" ht="54" customHeight="1" x14ac:dyDescent="0.25">
      <c r="A530" s="50" t="s">
        <v>18</v>
      </c>
      <c r="B530" s="50" t="s">
        <v>18</v>
      </c>
      <c r="C530" s="50" t="s">
        <v>21</v>
      </c>
      <c r="D530" s="50" t="s">
        <v>18</v>
      </c>
      <c r="E530" s="50" t="s">
        <v>21</v>
      </c>
      <c r="F530" s="50" t="s">
        <v>18</v>
      </c>
      <c r="G530" s="50" t="s">
        <v>22</v>
      </c>
      <c r="H530" s="50" t="s">
        <v>19</v>
      </c>
      <c r="I530" s="50" t="s">
        <v>24</v>
      </c>
      <c r="J530" s="50" t="s">
        <v>18</v>
      </c>
      <c r="K530" s="50" t="s">
        <v>18</v>
      </c>
      <c r="L530" s="50" t="s">
        <v>22</v>
      </c>
      <c r="M530" s="50" t="s">
        <v>43</v>
      </c>
      <c r="N530" s="50" t="s">
        <v>43</v>
      </c>
      <c r="O530" s="50" t="s">
        <v>43</v>
      </c>
      <c r="P530" s="50" t="s">
        <v>43</v>
      </c>
      <c r="Q530" s="50" t="s">
        <v>43</v>
      </c>
      <c r="R530" s="68" t="s">
        <v>155</v>
      </c>
      <c r="S530" s="51" t="s">
        <v>0</v>
      </c>
      <c r="T530" s="58">
        <f>36.4-4.4</f>
        <v>32</v>
      </c>
      <c r="U530" s="58">
        <f>34.6-34.6</f>
        <v>0</v>
      </c>
      <c r="V530" s="58">
        <f>31.8-22.8</f>
        <v>9</v>
      </c>
      <c r="W530" s="1">
        <v>0</v>
      </c>
      <c r="X530" s="1">
        <v>0</v>
      </c>
      <c r="Y530" s="1">
        <v>0</v>
      </c>
      <c r="Z530" s="1">
        <v>0</v>
      </c>
      <c r="AA530" s="55">
        <f t="shared" si="147"/>
        <v>41</v>
      </c>
      <c r="AB530" s="54">
        <v>2020</v>
      </c>
      <c r="AC530" s="109"/>
      <c r="AD530" s="92"/>
    </row>
    <row r="531" spans="1:33" ht="47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71" t="s">
        <v>156</v>
      </c>
      <c r="S531" s="139" t="s">
        <v>38</v>
      </c>
      <c r="T531" s="73">
        <v>14</v>
      </c>
      <c r="U531" s="73">
        <v>0</v>
      </c>
      <c r="V531" s="73">
        <v>2</v>
      </c>
      <c r="W531" s="73">
        <v>0</v>
      </c>
      <c r="X531" s="73">
        <v>0</v>
      </c>
      <c r="Y531" s="73">
        <v>0</v>
      </c>
      <c r="Z531" s="73">
        <v>0</v>
      </c>
      <c r="AA531" s="89">
        <f t="shared" si="147"/>
        <v>16</v>
      </c>
      <c r="AB531" s="39">
        <v>2020</v>
      </c>
      <c r="AC531" s="33"/>
    </row>
    <row r="532" spans="1:33" ht="55.5" customHeight="1" x14ac:dyDescent="0.25">
      <c r="A532" s="50" t="s">
        <v>18</v>
      </c>
      <c r="B532" s="50" t="s">
        <v>18</v>
      </c>
      <c r="C532" s="50" t="s">
        <v>25</v>
      </c>
      <c r="D532" s="50" t="s">
        <v>18</v>
      </c>
      <c r="E532" s="50" t="s">
        <v>21</v>
      </c>
      <c r="F532" s="50" t="s">
        <v>18</v>
      </c>
      <c r="G532" s="50" t="s">
        <v>22</v>
      </c>
      <c r="H532" s="50" t="s">
        <v>19</v>
      </c>
      <c r="I532" s="50" t="s">
        <v>24</v>
      </c>
      <c r="J532" s="50" t="s">
        <v>18</v>
      </c>
      <c r="K532" s="50" t="s">
        <v>18</v>
      </c>
      <c r="L532" s="50" t="s">
        <v>22</v>
      </c>
      <c r="M532" s="50" t="s">
        <v>43</v>
      </c>
      <c r="N532" s="50" t="s">
        <v>43</v>
      </c>
      <c r="O532" s="50" t="s">
        <v>43</v>
      </c>
      <c r="P532" s="50" t="s">
        <v>43</v>
      </c>
      <c r="Q532" s="50" t="s">
        <v>43</v>
      </c>
      <c r="R532" s="68" t="s">
        <v>152</v>
      </c>
      <c r="S532" s="51" t="s">
        <v>0</v>
      </c>
      <c r="T532" s="1">
        <f>35-32.2</f>
        <v>2.7999999999999972</v>
      </c>
      <c r="U532" s="1">
        <f>35-27.4</f>
        <v>7.6000000000000014</v>
      </c>
      <c r="V532" s="1">
        <f>35-18.1</f>
        <v>16.899999999999999</v>
      </c>
      <c r="W532" s="1">
        <v>0</v>
      </c>
      <c r="X532" s="1">
        <v>0</v>
      </c>
      <c r="Y532" s="1">
        <v>0</v>
      </c>
      <c r="Z532" s="1">
        <v>0</v>
      </c>
      <c r="AA532" s="55">
        <f t="shared" si="147"/>
        <v>27.299999999999997</v>
      </c>
      <c r="AB532" s="54">
        <v>2020</v>
      </c>
      <c r="AC532" s="33"/>
    </row>
    <row r="533" spans="1:33" ht="47.25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71" t="s">
        <v>157</v>
      </c>
      <c r="S533" s="139" t="s">
        <v>38</v>
      </c>
      <c r="T533" s="39">
        <v>1</v>
      </c>
      <c r="U533" s="39">
        <v>2</v>
      </c>
      <c r="V533" s="39">
        <v>4</v>
      </c>
      <c r="W533" s="73">
        <v>0</v>
      </c>
      <c r="X533" s="73">
        <v>0</v>
      </c>
      <c r="Y533" s="73">
        <v>0</v>
      </c>
      <c r="Z533" s="73">
        <v>0</v>
      </c>
      <c r="AA533" s="45">
        <f t="shared" si="147"/>
        <v>7</v>
      </c>
      <c r="AB533" s="39">
        <v>2020</v>
      </c>
      <c r="AC533" s="33"/>
    </row>
    <row r="534" spans="1:33" ht="31.5" hidden="1" x14ac:dyDescent="0.25">
      <c r="A534" s="50" t="s">
        <v>18</v>
      </c>
      <c r="B534" s="50" t="s">
        <v>19</v>
      </c>
      <c r="C534" s="50" t="s">
        <v>20</v>
      </c>
      <c r="D534" s="50" t="s">
        <v>18</v>
      </c>
      <c r="E534" s="50" t="s">
        <v>24</v>
      </c>
      <c r="F534" s="50" t="s">
        <v>18</v>
      </c>
      <c r="G534" s="50" t="s">
        <v>21</v>
      </c>
      <c r="H534" s="50" t="s">
        <v>19</v>
      </c>
      <c r="I534" s="50" t="s">
        <v>24</v>
      </c>
      <c r="J534" s="50" t="s">
        <v>18</v>
      </c>
      <c r="K534" s="50" t="s">
        <v>18</v>
      </c>
      <c r="L534" s="50" t="s">
        <v>22</v>
      </c>
      <c r="M534" s="50" t="s">
        <v>18</v>
      </c>
      <c r="N534" s="50" t="s">
        <v>18</v>
      </c>
      <c r="O534" s="50" t="s">
        <v>18</v>
      </c>
      <c r="P534" s="50" t="s">
        <v>18</v>
      </c>
      <c r="Q534" s="50" t="s">
        <v>18</v>
      </c>
      <c r="R534" s="150" t="s">
        <v>273</v>
      </c>
      <c r="S534" s="54" t="s">
        <v>0</v>
      </c>
      <c r="T534" s="55">
        <v>0</v>
      </c>
      <c r="U534" s="55">
        <v>0</v>
      </c>
      <c r="V534" s="55">
        <v>0</v>
      </c>
      <c r="W534" s="1">
        <v>0</v>
      </c>
      <c r="X534" s="55">
        <v>0</v>
      </c>
      <c r="Y534" s="55">
        <v>0</v>
      </c>
      <c r="Z534" s="55">
        <v>0</v>
      </c>
      <c r="AA534" s="55">
        <f>T534+U534+V534+W534+X534+Y534</f>
        <v>0</v>
      </c>
      <c r="AB534" s="54">
        <v>2019</v>
      </c>
      <c r="AC534" s="33"/>
    </row>
    <row r="535" spans="1:33" ht="31.5" hidden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71" t="s">
        <v>165</v>
      </c>
      <c r="S535" s="139" t="s">
        <v>38</v>
      </c>
      <c r="T535" s="39">
        <v>0</v>
      </c>
      <c r="U535" s="39">
        <v>1</v>
      </c>
      <c r="V535" s="39">
        <v>0</v>
      </c>
      <c r="W535" s="73">
        <v>0</v>
      </c>
      <c r="X535" s="39">
        <v>0</v>
      </c>
      <c r="Y535" s="39">
        <v>0</v>
      </c>
      <c r="Z535" s="39">
        <v>0</v>
      </c>
      <c r="AA535" s="45">
        <v>1</v>
      </c>
      <c r="AB535" s="39">
        <v>2019</v>
      </c>
      <c r="AC535" s="33"/>
    </row>
    <row r="536" spans="1:33" ht="78.75" hidden="1" x14ac:dyDescent="0.25">
      <c r="A536" s="50" t="s">
        <v>18</v>
      </c>
      <c r="B536" s="50" t="s">
        <v>19</v>
      </c>
      <c r="C536" s="50" t="s">
        <v>20</v>
      </c>
      <c r="D536" s="50" t="s">
        <v>18</v>
      </c>
      <c r="E536" s="50" t="s">
        <v>24</v>
      </c>
      <c r="F536" s="50" t="s">
        <v>18</v>
      </c>
      <c r="G536" s="50" t="s">
        <v>21</v>
      </c>
      <c r="H536" s="50" t="s">
        <v>19</v>
      </c>
      <c r="I536" s="50" t="s">
        <v>24</v>
      </c>
      <c r="J536" s="50" t="s">
        <v>18</v>
      </c>
      <c r="K536" s="50" t="s">
        <v>18</v>
      </c>
      <c r="L536" s="50" t="s">
        <v>22</v>
      </c>
      <c r="M536" s="50" t="s">
        <v>18</v>
      </c>
      <c r="N536" s="50" t="s">
        <v>18</v>
      </c>
      <c r="O536" s="50" t="s">
        <v>18</v>
      </c>
      <c r="P536" s="50" t="s">
        <v>18</v>
      </c>
      <c r="Q536" s="50" t="s">
        <v>18</v>
      </c>
      <c r="R536" s="150" t="s">
        <v>274</v>
      </c>
      <c r="S536" s="54" t="s">
        <v>0</v>
      </c>
      <c r="T536" s="55">
        <v>0</v>
      </c>
      <c r="U536" s="55">
        <v>0</v>
      </c>
      <c r="V536" s="55">
        <v>0</v>
      </c>
      <c r="W536" s="1">
        <v>0</v>
      </c>
      <c r="X536" s="55">
        <v>0</v>
      </c>
      <c r="Y536" s="55">
        <v>0</v>
      </c>
      <c r="Z536" s="55">
        <v>0</v>
      </c>
      <c r="AA536" s="55">
        <f>T536+U536+V536+W536+X536+Y536</f>
        <v>0</v>
      </c>
      <c r="AB536" s="54">
        <v>2019</v>
      </c>
      <c r="AC536" s="33"/>
    </row>
    <row r="537" spans="1:33" s="64" customFormat="1" ht="8.25" hidden="1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69" t="s">
        <v>275</v>
      </c>
      <c r="S537" s="39" t="s">
        <v>38</v>
      </c>
      <c r="T537" s="39">
        <v>0</v>
      </c>
      <c r="U537" s="39">
        <v>1</v>
      </c>
      <c r="V537" s="39">
        <v>0</v>
      </c>
      <c r="W537" s="73">
        <v>0</v>
      </c>
      <c r="X537" s="39">
        <v>0</v>
      </c>
      <c r="Y537" s="39">
        <v>0</v>
      </c>
      <c r="Z537" s="39">
        <v>0</v>
      </c>
      <c r="AA537" s="45">
        <f>U537</f>
        <v>1</v>
      </c>
      <c r="AB537" s="39">
        <v>2019</v>
      </c>
      <c r="AC537" s="101"/>
    </row>
    <row r="538" spans="1:33" ht="78.75" x14ac:dyDescent="0.25">
      <c r="A538" s="50" t="s">
        <v>18</v>
      </c>
      <c r="B538" s="50" t="s">
        <v>19</v>
      </c>
      <c r="C538" s="50" t="s">
        <v>20</v>
      </c>
      <c r="D538" s="50" t="s">
        <v>18</v>
      </c>
      <c r="E538" s="50" t="s">
        <v>24</v>
      </c>
      <c r="F538" s="50" t="s">
        <v>18</v>
      </c>
      <c r="G538" s="50" t="s">
        <v>21</v>
      </c>
      <c r="H538" s="50" t="s">
        <v>19</v>
      </c>
      <c r="I538" s="50" t="s">
        <v>24</v>
      </c>
      <c r="J538" s="50" t="s">
        <v>18</v>
      </c>
      <c r="K538" s="50" t="s">
        <v>18</v>
      </c>
      <c r="L538" s="50" t="s">
        <v>22</v>
      </c>
      <c r="M538" s="50" t="s">
        <v>19</v>
      </c>
      <c r="N538" s="50" t="s">
        <v>18</v>
      </c>
      <c r="O538" s="50" t="s">
        <v>21</v>
      </c>
      <c r="P538" s="50" t="s">
        <v>21</v>
      </c>
      <c r="Q538" s="50" t="s">
        <v>18</v>
      </c>
      <c r="R538" s="150" t="s">
        <v>287</v>
      </c>
      <c r="S538" s="54" t="s">
        <v>0</v>
      </c>
      <c r="T538" s="55">
        <v>0</v>
      </c>
      <c r="U538" s="55">
        <v>731.8</v>
      </c>
      <c r="V538" s="55">
        <v>0</v>
      </c>
      <c r="W538" s="55">
        <v>0</v>
      </c>
      <c r="X538" s="55">
        <v>0</v>
      </c>
      <c r="Y538" s="55">
        <v>0</v>
      </c>
      <c r="Z538" s="55">
        <v>0</v>
      </c>
      <c r="AA538" s="55">
        <f>T538+U538+V538+W538+X538+Y538</f>
        <v>731.8</v>
      </c>
      <c r="AB538" s="54">
        <v>2019</v>
      </c>
    </row>
    <row r="539" spans="1:33" s="64" customFormat="1" ht="31.5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69" t="s">
        <v>276</v>
      </c>
      <c r="S539" s="39" t="s">
        <v>50</v>
      </c>
      <c r="T539" s="42">
        <v>0</v>
      </c>
      <c r="U539" s="42">
        <v>347</v>
      </c>
      <c r="V539" s="42">
        <v>0</v>
      </c>
      <c r="W539" s="42">
        <v>0</v>
      </c>
      <c r="X539" s="42">
        <v>0</v>
      </c>
      <c r="Y539" s="42">
        <v>0</v>
      </c>
      <c r="Z539" s="42">
        <v>0</v>
      </c>
      <c r="AA539" s="45">
        <f>U539</f>
        <v>347</v>
      </c>
      <c r="AB539" s="65">
        <v>2019</v>
      </c>
      <c r="AC539" s="101"/>
    </row>
    <row r="540" spans="1:33" ht="40.5" customHeight="1" x14ac:dyDescent="0.25">
      <c r="A540" s="44"/>
      <c r="B540" s="44"/>
      <c r="C540" s="44"/>
      <c r="D540" s="44"/>
      <c r="E540" s="44"/>
      <c r="F540" s="44"/>
      <c r="G540" s="44"/>
      <c r="H540" s="44" t="s">
        <v>19</v>
      </c>
      <c r="I540" s="44" t="s">
        <v>24</v>
      </c>
      <c r="J540" s="44" t="s">
        <v>18</v>
      </c>
      <c r="K540" s="44" t="s">
        <v>18</v>
      </c>
      <c r="L540" s="44" t="s">
        <v>24</v>
      </c>
      <c r="M540" s="44" t="s">
        <v>18</v>
      </c>
      <c r="N540" s="44" t="s">
        <v>18</v>
      </c>
      <c r="O540" s="44" t="s">
        <v>18</v>
      </c>
      <c r="P540" s="44" t="s">
        <v>18</v>
      </c>
      <c r="Q540" s="44" t="s">
        <v>18</v>
      </c>
      <c r="R540" s="66" t="s">
        <v>54</v>
      </c>
      <c r="S540" s="131" t="s">
        <v>0</v>
      </c>
      <c r="T540" s="130">
        <f t="shared" ref="T540:Y540" si="148">T542+T555+T550</f>
        <v>25348.3</v>
      </c>
      <c r="U540" s="130">
        <f t="shared" si="148"/>
        <v>35592.6</v>
      </c>
      <c r="V540" s="130">
        <f t="shared" si="148"/>
        <v>25348.3</v>
      </c>
      <c r="W540" s="130">
        <f t="shared" si="148"/>
        <v>26934.5</v>
      </c>
      <c r="X540" s="130">
        <f t="shared" si="148"/>
        <v>34052.600000000006</v>
      </c>
      <c r="Y540" s="130">
        <f t="shared" si="148"/>
        <v>37563</v>
      </c>
      <c r="Z540" s="130">
        <f>Z542+Z555+Z550</f>
        <v>44069.5</v>
      </c>
      <c r="AA540" s="130">
        <f>SUM(T540:Z540)</f>
        <v>228908.79999999999</v>
      </c>
      <c r="AB540" s="131">
        <v>2024</v>
      </c>
    </row>
    <row r="541" spans="1:33" ht="39.7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82" t="s">
        <v>158</v>
      </c>
      <c r="S541" s="139" t="s">
        <v>52</v>
      </c>
      <c r="T541" s="127">
        <f>T545</f>
        <v>2225</v>
      </c>
      <c r="U541" s="127">
        <f t="shared" ref="U541:AA541" si="149">U545</f>
        <v>2224</v>
      </c>
      <c r="V541" s="127">
        <f t="shared" si="149"/>
        <v>2224</v>
      </c>
      <c r="W541" s="127">
        <f t="shared" si="149"/>
        <v>2224</v>
      </c>
      <c r="X541" s="127">
        <f t="shared" si="149"/>
        <v>2225</v>
      </c>
      <c r="Y541" s="127">
        <f t="shared" si="149"/>
        <v>2225</v>
      </c>
      <c r="Z541" s="127">
        <f t="shared" ref="Z541" si="150">Z545</f>
        <v>2225</v>
      </c>
      <c r="AA541" s="128">
        <f t="shared" si="149"/>
        <v>2225</v>
      </c>
      <c r="AB541" s="39">
        <v>2024</v>
      </c>
      <c r="AC541" s="93" t="s">
        <v>363</v>
      </c>
      <c r="AD541" s="12"/>
      <c r="AE541" s="12"/>
      <c r="AF541" s="12"/>
      <c r="AG541" s="12"/>
    </row>
    <row r="542" spans="1:33" x14ac:dyDescent="0.25">
      <c r="A542" s="50"/>
      <c r="B542" s="50"/>
      <c r="C542" s="50"/>
      <c r="D542" s="50" t="s">
        <v>18</v>
      </c>
      <c r="E542" s="50" t="s">
        <v>21</v>
      </c>
      <c r="F542" s="50" t="s">
        <v>18</v>
      </c>
      <c r="G542" s="50" t="s">
        <v>22</v>
      </c>
      <c r="H542" s="50" t="s">
        <v>19</v>
      </c>
      <c r="I542" s="50" t="s">
        <v>24</v>
      </c>
      <c r="J542" s="50" t="s">
        <v>18</v>
      </c>
      <c r="K542" s="50" t="s">
        <v>18</v>
      </c>
      <c r="L542" s="50" t="s">
        <v>24</v>
      </c>
      <c r="M542" s="50" t="s">
        <v>43</v>
      </c>
      <c r="N542" s="50" t="s">
        <v>43</v>
      </c>
      <c r="O542" s="50" t="s">
        <v>43</v>
      </c>
      <c r="P542" s="50" t="s">
        <v>43</v>
      </c>
      <c r="Q542" s="50" t="s">
        <v>43</v>
      </c>
      <c r="R542" s="170" t="s">
        <v>159</v>
      </c>
      <c r="S542" s="160" t="s">
        <v>0</v>
      </c>
      <c r="T542" s="55">
        <v>25348.3</v>
      </c>
      <c r="U542" s="55">
        <f>23600+1311.8</f>
        <v>24911.8</v>
      </c>
      <c r="V542" s="55">
        <f>V543+V544</f>
        <v>25348.3</v>
      </c>
      <c r="W542" s="55">
        <f t="shared" ref="W542:Y542" si="151">W543+W544</f>
        <v>22802.2</v>
      </c>
      <c r="X542" s="55">
        <f t="shared" si="151"/>
        <v>28227.600000000002</v>
      </c>
      <c r="Y542" s="55">
        <f t="shared" si="151"/>
        <v>25660.400000000001</v>
      </c>
      <c r="Z542" s="55">
        <f>Z543+Z544</f>
        <v>25660.400000000001</v>
      </c>
      <c r="AA542" s="55">
        <f>SUM(T542:Z542)</f>
        <v>177959</v>
      </c>
      <c r="AB542" s="54">
        <v>2024</v>
      </c>
      <c r="AC542" s="33"/>
    </row>
    <row r="543" spans="1:33" x14ac:dyDescent="0.25">
      <c r="A543" s="50" t="s">
        <v>18</v>
      </c>
      <c r="B543" s="50" t="s">
        <v>19</v>
      </c>
      <c r="C543" s="50" t="s">
        <v>20</v>
      </c>
      <c r="D543" s="50" t="s">
        <v>18</v>
      </c>
      <c r="E543" s="50" t="s">
        <v>21</v>
      </c>
      <c r="F543" s="50" t="s">
        <v>18</v>
      </c>
      <c r="G543" s="50" t="s">
        <v>22</v>
      </c>
      <c r="H543" s="50" t="s">
        <v>19</v>
      </c>
      <c r="I543" s="50" t="s">
        <v>24</v>
      </c>
      <c r="J543" s="50" t="s">
        <v>18</v>
      </c>
      <c r="K543" s="50" t="s">
        <v>18</v>
      </c>
      <c r="L543" s="50" t="s">
        <v>24</v>
      </c>
      <c r="M543" s="50" t="s">
        <v>43</v>
      </c>
      <c r="N543" s="50" t="s">
        <v>43</v>
      </c>
      <c r="O543" s="50" t="s">
        <v>43</v>
      </c>
      <c r="P543" s="50" t="s">
        <v>43</v>
      </c>
      <c r="Q543" s="50" t="s">
        <v>43</v>
      </c>
      <c r="R543" s="171"/>
      <c r="S543" s="161"/>
      <c r="T543" s="1">
        <v>25348.3</v>
      </c>
      <c r="U543" s="1">
        <v>24911.8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55">
        <f t="shared" ref="AA543:AA544" si="152">SUM(T543:Z543)</f>
        <v>50260.1</v>
      </c>
      <c r="AB543" s="51">
        <v>2019</v>
      </c>
      <c r="AC543" s="33"/>
    </row>
    <row r="544" spans="1:33" x14ac:dyDescent="0.25">
      <c r="A544" s="50" t="s">
        <v>18</v>
      </c>
      <c r="B544" s="50" t="s">
        <v>19</v>
      </c>
      <c r="C544" s="50" t="s">
        <v>24</v>
      </c>
      <c r="D544" s="50" t="s">
        <v>18</v>
      </c>
      <c r="E544" s="50" t="s">
        <v>21</v>
      </c>
      <c r="F544" s="50" t="s">
        <v>18</v>
      </c>
      <c r="G544" s="50" t="s">
        <v>22</v>
      </c>
      <c r="H544" s="50" t="s">
        <v>19</v>
      </c>
      <c r="I544" s="50" t="s">
        <v>24</v>
      </c>
      <c r="J544" s="50" t="s">
        <v>18</v>
      </c>
      <c r="K544" s="50" t="s">
        <v>18</v>
      </c>
      <c r="L544" s="50" t="s">
        <v>24</v>
      </c>
      <c r="M544" s="50" t="s">
        <v>43</v>
      </c>
      <c r="N544" s="50" t="s">
        <v>43</v>
      </c>
      <c r="O544" s="50" t="s">
        <v>43</v>
      </c>
      <c r="P544" s="50" t="s">
        <v>43</v>
      </c>
      <c r="Q544" s="50" t="s">
        <v>43</v>
      </c>
      <c r="R544" s="172"/>
      <c r="S544" s="162"/>
      <c r="T544" s="1">
        <v>0</v>
      </c>
      <c r="U544" s="1">
        <v>0</v>
      </c>
      <c r="V544" s="1">
        <v>25348.3</v>
      </c>
      <c r="W544" s="1">
        <f>21770.4+1031.8</f>
        <v>22802.2</v>
      </c>
      <c r="X544" s="1">
        <f>21770.4+6457.2</f>
        <v>28227.600000000002</v>
      </c>
      <c r="Y544" s="1">
        <v>25660.400000000001</v>
      </c>
      <c r="Z544" s="1">
        <v>25660.400000000001</v>
      </c>
      <c r="AA544" s="55">
        <f t="shared" si="152"/>
        <v>127698.9</v>
      </c>
      <c r="AB544" s="51">
        <v>2024</v>
      </c>
      <c r="AC544" s="33"/>
    </row>
    <row r="545" spans="1:31" ht="34.1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71" t="s">
        <v>160</v>
      </c>
      <c r="S545" s="142" t="s">
        <v>52</v>
      </c>
      <c r="T545" s="2">
        <v>2225</v>
      </c>
      <c r="U545" s="42">
        <v>2224</v>
      </c>
      <c r="V545" s="42">
        <v>2224</v>
      </c>
      <c r="W545" s="42">
        <v>2224</v>
      </c>
      <c r="X545" s="42">
        <v>2225</v>
      </c>
      <c r="Y545" s="42">
        <v>2225</v>
      </c>
      <c r="Z545" s="42">
        <v>2225</v>
      </c>
      <c r="AA545" s="43">
        <f>Z545</f>
        <v>2225</v>
      </c>
      <c r="AB545" s="39">
        <v>2024</v>
      </c>
      <c r="AC545" s="33"/>
    </row>
    <row r="546" spans="1:31" ht="31.5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71" t="s">
        <v>161</v>
      </c>
      <c r="S546" s="142" t="s">
        <v>53</v>
      </c>
      <c r="T546" s="2">
        <v>365</v>
      </c>
      <c r="U546" s="2">
        <v>365</v>
      </c>
      <c r="V546" s="42">
        <v>366</v>
      </c>
      <c r="W546" s="42">
        <v>365</v>
      </c>
      <c r="X546" s="2">
        <v>365</v>
      </c>
      <c r="Y546" s="2">
        <v>365</v>
      </c>
      <c r="Z546" s="2">
        <v>366</v>
      </c>
      <c r="AA546" s="43">
        <f>T546+U546+V546+W546+X546+Y546+Z546</f>
        <v>2557</v>
      </c>
      <c r="AB546" s="39">
        <v>2024</v>
      </c>
      <c r="AC546" s="33"/>
    </row>
    <row r="547" spans="1:31" ht="31.5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71" t="s">
        <v>162</v>
      </c>
      <c r="S547" s="142" t="s">
        <v>38</v>
      </c>
      <c r="T547" s="2">
        <v>4917</v>
      </c>
      <c r="U547" s="2">
        <v>5400</v>
      </c>
      <c r="V547" s="2">
        <v>4794</v>
      </c>
      <c r="W547" s="42">
        <v>6500</v>
      </c>
      <c r="X547" s="2">
        <v>5668</v>
      </c>
      <c r="Y547" s="2">
        <v>6453</v>
      </c>
      <c r="Z547" s="2">
        <v>6453</v>
      </c>
      <c r="AA547" s="43">
        <f t="shared" ref="AA547:AA549" si="153">T547+U547+V547+W547+X547+Y547+Z547</f>
        <v>40185</v>
      </c>
      <c r="AB547" s="39">
        <v>2024</v>
      </c>
      <c r="AC547" s="113"/>
      <c r="AD547" s="92"/>
    </row>
    <row r="548" spans="1:31" ht="47.25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71" t="s">
        <v>163</v>
      </c>
      <c r="S548" s="142" t="s">
        <v>38</v>
      </c>
      <c r="T548" s="2">
        <v>4598</v>
      </c>
      <c r="U548" s="42">
        <v>4558</v>
      </c>
      <c r="V548" s="2">
        <v>4594</v>
      </c>
      <c r="W548" s="42">
        <v>6500</v>
      </c>
      <c r="X548" s="2">
        <v>5668</v>
      </c>
      <c r="Y548" s="2">
        <v>6453</v>
      </c>
      <c r="Z548" s="2">
        <v>6453</v>
      </c>
      <c r="AA548" s="43">
        <f t="shared" si="153"/>
        <v>38824</v>
      </c>
      <c r="AB548" s="39">
        <v>2024</v>
      </c>
      <c r="AC548" s="113"/>
      <c r="AD548" s="92"/>
    </row>
    <row r="549" spans="1:31" ht="47.25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71" t="s">
        <v>164</v>
      </c>
      <c r="S549" s="142" t="s">
        <v>38</v>
      </c>
      <c r="T549" s="2">
        <v>488</v>
      </c>
      <c r="U549" s="2">
        <v>550</v>
      </c>
      <c r="V549" s="2">
        <v>516</v>
      </c>
      <c r="W549" s="42">
        <v>500</v>
      </c>
      <c r="X549" s="2">
        <v>590</v>
      </c>
      <c r="Y549" s="2">
        <v>490</v>
      </c>
      <c r="Z549" s="2">
        <v>490</v>
      </c>
      <c r="AA549" s="43">
        <f t="shared" si="153"/>
        <v>3624</v>
      </c>
      <c r="AB549" s="39">
        <v>2024</v>
      </c>
      <c r="AC549" s="113"/>
      <c r="AD549" s="92"/>
    </row>
    <row r="550" spans="1:31" x14ac:dyDescent="0.25">
      <c r="A550" s="50"/>
      <c r="B550" s="50"/>
      <c r="C550" s="50"/>
      <c r="D550" s="50" t="s">
        <v>18</v>
      </c>
      <c r="E550" s="50" t="s">
        <v>21</v>
      </c>
      <c r="F550" s="50" t="s">
        <v>18</v>
      </c>
      <c r="G550" s="50" t="s">
        <v>22</v>
      </c>
      <c r="H550" s="50" t="s">
        <v>19</v>
      </c>
      <c r="I550" s="50" t="s">
        <v>24</v>
      </c>
      <c r="J550" s="50" t="s">
        <v>18</v>
      </c>
      <c r="K550" s="50" t="s">
        <v>18</v>
      </c>
      <c r="L550" s="50" t="s">
        <v>24</v>
      </c>
      <c r="M550" s="50" t="s">
        <v>43</v>
      </c>
      <c r="N550" s="50" t="s">
        <v>43</v>
      </c>
      <c r="O550" s="50" t="s">
        <v>43</v>
      </c>
      <c r="P550" s="50" t="s">
        <v>43</v>
      </c>
      <c r="Q550" s="50" t="s">
        <v>43</v>
      </c>
      <c r="R550" s="170" t="s">
        <v>310</v>
      </c>
      <c r="S550" s="160" t="s">
        <v>0</v>
      </c>
      <c r="T550" s="55">
        <f>T551+T552</f>
        <v>0</v>
      </c>
      <c r="U550" s="55">
        <f t="shared" ref="U550:Z550" si="154">U551+U552</f>
        <v>10680.8</v>
      </c>
      <c r="V550" s="55">
        <f t="shared" si="154"/>
        <v>0</v>
      </c>
      <c r="W550" s="55">
        <f t="shared" si="154"/>
        <v>4132.3</v>
      </c>
      <c r="X550" s="55">
        <f t="shared" si="154"/>
        <v>825</v>
      </c>
      <c r="Y550" s="55">
        <f t="shared" si="154"/>
        <v>0</v>
      </c>
      <c r="Z550" s="55">
        <f t="shared" si="154"/>
        <v>0</v>
      </c>
      <c r="AA550" s="55">
        <f>SUM(T550:Z550)</f>
        <v>15638.099999999999</v>
      </c>
      <c r="AB550" s="54">
        <v>2022</v>
      </c>
      <c r="AC550" s="33"/>
      <c r="AD550" s="92"/>
    </row>
    <row r="551" spans="1:31" x14ac:dyDescent="0.25">
      <c r="A551" s="50" t="s">
        <v>18</v>
      </c>
      <c r="B551" s="50" t="s">
        <v>19</v>
      </c>
      <c r="C551" s="50" t="s">
        <v>20</v>
      </c>
      <c r="D551" s="50" t="s">
        <v>18</v>
      </c>
      <c r="E551" s="50" t="s">
        <v>21</v>
      </c>
      <c r="F551" s="50" t="s">
        <v>18</v>
      </c>
      <c r="G551" s="50" t="s">
        <v>22</v>
      </c>
      <c r="H551" s="50" t="s">
        <v>19</v>
      </c>
      <c r="I551" s="50" t="s">
        <v>24</v>
      </c>
      <c r="J551" s="50" t="s">
        <v>18</v>
      </c>
      <c r="K551" s="50" t="s">
        <v>18</v>
      </c>
      <c r="L551" s="50" t="s">
        <v>24</v>
      </c>
      <c r="M551" s="50" t="s">
        <v>43</v>
      </c>
      <c r="N551" s="50" t="s">
        <v>43</v>
      </c>
      <c r="O551" s="50" t="s">
        <v>43</v>
      </c>
      <c r="P551" s="50" t="s">
        <v>43</v>
      </c>
      <c r="Q551" s="50" t="s">
        <v>43</v>
      </c>
      <c r="R551" s="171"/>
      <c r="S551" s="161"/>
      <c r="T551" s="1">
        <v>0</v>
      </c>
      <c r="U551" s="1">
        <v>10680.8</v>
      </c>
      <c r="V551" s="1">
        <v>0</v>
      </c>
      <c r="W551" s="1">
        <v>0</v>
      </c>
      <c r="X551" s="1">
        <v>0</v>
      </c>
      <c r="Y551" s="1">
        <v>0</v>
      </c>
      <c r="Z551" s="1">
        <v>0</v>
      </c>
      <c r="AA551" s="55">
        <f t="shared" ref="AA551:AA552" si="155">SUM(T551:Z551)</f>
        <v>10680.8</v>
      </c>
      <c r="AB551" s="54">
        <v>2019</v>
      </c>
      <c r="AC551" s="33"/>
      <c r="AD551" s="92"/>
    </row>
    <row r="552" spans="1:31" x14ac:dyDescent="0.25">
      <c r="A552" s="50" t="s">
        <v>18</v>
      </c>
      <c r="B552" s="50" t="s">
        <v>19</v>
      </c>
      <c r="C552" s="50" t="s">
        <v>24</v>
      </c>
      <c r="D552" s="50" t="s">
        <v>18</v>
      </c>
      <c r="E552" s="50" t="s">
        <v>21</v>
      </c>
      <c r="F552" s="50" t="s">
        <v>18</v>
      </c>
      <c r="G552" s="50" t="s">
        <v>22</v>
      </c>
      <c r="H552" s="50" t="s">
        <v>19</v>
      </c>
      <c r="I552" s="50" t="s">
        <v>24</v>
      </c>
      <c r="J552" s="50" t="s">
        <v>18</v>
      </c>
      <c r="K552" s="50" t="s">
        <v>18</v>
      </c>
      <c r="L552" s="50" t="s">
        <v>24</v>
      </c>
      <c r="M552" s="50" t="s">
        <v>43</v>
      </c>
      <c r="N552" s="50" t="s">
        <v>43</v>
      </c>
      <c r="O552" s="50" t="s">
        <v>43</v>
      </c>
      <c r="P552" s="50" t="s">
        <v>43</v>
      </c>
      <c r="Q552" s="50" t="s">
        <v>43</v>
      </c>
      <c r="R552" s="172"/>
      <c r="S552" s="162"/>
      <c r="T552" s="1">
        <v>0</v>
      </c>
      <c r="U552" s="1">
        <v>0</v>
      </c>
      <c r="V552" s="1">
        <v>0</v>
      </c>
      <c r="W552" s="1">
        <v>4132.3</v>
      </c>
      <c r="X552" s="1">
        <f>0+825</f>
        <v>825</v>
      </c>
      <c r="Y552" s="1">
        <v>0</v>
      </c>
      <c r="Z552" s="1">
        <v>0</v>
      </c>
      <c r="AA552" s="55">
        <f t="shared" si="155"/>
        <v>4957.3</v>
      </c>
      <c r="AB552" s="54">
        <v>2022</v>
      </c>
      <c r="AC552" s="33"/>
      <c r="AD552" s="92"/>
    </row>
    <row r="553" spans="1:31" ht="31.5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69" t="s">
        <v>255</v>
      </c>
      <c r="S553" s="39" t="s">
        <v>38</v>
      </c>
      <c r="T553" s="42">
        <v>0</v>
      </c>
      <c r="U553" s="42">
        <v>7300</v>
      </c>
      <c r="V553" s="42">
        <v>0</v>
      </c>
      <c r="W553" s="42">
        <v>7300</v>
      </c>
      <c r="X553" s="42">
        <v>0</v>
      </c>
      <c r="Y553" s="42">
        <v>0</v>
      </c>
      <c r="Z553" s="42">
        <v>0</v>
      </c>
      <c r="AA553" s="45">
        <f>U553</f>
        <v>7300</v>
      </c>
      <c r="AB553" s="39">
        <v>2021</v>
      </c>
      <c r="AC553" s="33"/>
      <c r="AD553" s="94"/>
      <c r="AE553" s="94"/>
    </row>
    <row r="554" spans="1:31" ht="47.25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69" t="s">
        <v>362</v>
      </c>
      <c r="S554" s="39" t="s">
        <v>38</v>
      </c>
      <c r="T554" s="42">
        <v>0</v>
      </c>
      <c r="U554" s="42">
        <v>0</v>
      </c>
      <c r="V554" s="42">
        <v>0</v>
      </c>
      <c r="W554" s="42">
        <v>0</v>
      </c>
      <c r="X554" s="42">
        <v>2</v>
      </c>
      <c r="Y554" s="42">
        <v>0</v>
      </c>
      <c r="Z554" s="42">
        <v>0</v>
      </c>
      <c r="AA554" s="45">
        <f>X554</f>
        <v>2</v>
      </c>
      <c r="AB554" s="39">
        <v>2022</v>
      </c>
      <c r="AC554" s="33"/>
      <c r="AD554" s="94"/>
      <c r="AE554" s="94"/>
    </row>
    <row r="555" spans="1:31" ht="31.5" x14ac:dyDescent="0.25">
      <c r="A555" s="50" t="s">
        <v>18</v>
      </c>
      <c r="B555" s="50" t="s">
        <v>19</v>
      </c>
      <c r="C555" s="50" t="s">
        <v>24</v>
      </c>
      <c r="D555" s="50" t="s">
        <v>18</v>
      </c>
      <c r="E555" s="50" t="s">
        <v>21</v>
      </c>
      <c r="F555" s="50" t="s">
        <v>18</v>
      </c>
      <c r="G555" s="50" t="s">
        <v>22</v>
      </c>
      <c r="H555" s="50" t="s">
        <v>19</v>
      </c>
      <c r="I555" s="50" t="s">
        <v>24</v>
      </c>
      <c r="J555" s="50" t="s">
        <v>18</v>
      </c>
      <c r="K555" s="50" t="s">
        <v>18</v>
      </c>
      <c r="L555" s="50" t="s">
        <v>24</v>
      </c>
      <c r="M555" s="50" t="s">
        <v>18</v>
      </c>
      <c r="N555" s="50" t="s">
        <v>18</v>
      </c>
      <c r="O555" s="50" t="s">
        <v>18</v>
      </c>
      <c r="P555" s="50" t="s">
        <v>24</v>
      </c>
      <c r="Q555" s="50" t="s">
        <v>22</v>
      </c>
      <c r="R555" s="150" t="s">
        <v>360</v>
      </c>
      <c r="S555" s="54" t="s">
        <v>0</v>
      </c>
      <c r="T555" s="55">
        <v>0</v>
      </c>
      <c r="U555" s="55">
        <f>4000-4000</f>
        <v>0</v>
      </c>
      <c r="V555" s="55">
        <v>0</v>
      </c>
      <c r="W555" s="55">
        <v>0</v>
      </c>
      <c r="X555" s="55">
        <v>5000</v>
      </c>
      <c r="Y555" s="55">
        <v>11902.6</v>
      </c>
      <c r="Z555" s="55">
        <v>18409.099999999999</v>
      </c>
      <c r="AA555" s="55">
        <f>SUM(T555:Z555)</f>
        <v>35311.699999999997</v>
      </c>
      <c r="AB555" s="54">
        <v>2024</v>
      </c>
      <c r="AC555" s="33"/>
      <c r="AD555" s="92"/>
    </row>
    <row r="556" spans="1:31" ht="31.5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69" t="s">
        <v>254</v>
      </c>
      <c r="S556" s="39" t="s">
        <v>38</v>
      </c>
      <c r="T556" s="42">
        <v>0</v>
      </c>
      <c r="U556" s="42">
        <v>0</v>
      </c>
      <c r="V556" s="42">
        <v>0</v>
      </c>
      <c r="W556" s="42">
        <v>0</v>
      </c>
      <c r="X556" s="42">
        <v>1</v>
      </c>
      <c r="Y556" s="42">
        <v>0</v>
      </c>
      <c r="Z556" s="42">
        <v>0</v>
      </c>
      <c r="AA556" s="45">
        <v>0</v>
      </c>
      <c r="AB556" s="39">
        <v>2022</v>
      </c>
      <c r="AC556" s="33"/>
      <c r="AD556" s="94"/>
      <c r="AE556" s="94"/>
    </row>
    <row r="557" spans="1:31" ht="31.5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69" t="s">
        <v>344</v>
      </c>
      <c r="S557" s="39" t="s">
        <v>38</v>
      </c>
      <c r="T557" s="42">
        <v>0</v>
      </c>
      <c r="U557" s="42">
        <v>0</v>
      </c>
      <c r="V557" s="42">
        <v>0</v>
      </c>
      <c r="W557" s="42">
        <v>0</v>
      </c>
      <c r="X557" s="42">
        <v>0</v>
      </c>
      <c r="Y557" s="42">
        <v>6000</v>
      </c>
      <c r="Z557" s="42">
        <v>8000</v>
      </c>
      <c r="AA557" s="45">
        <f>Y557+Z557</f>
        <v>14000</v>
      </c>
      <c r="AB557" s="39">
        <v>2024</v>
      </c>
      <c r="AC557" s="33"/>
      <c r="AD557" s="94"/>
      <c r="AE557" s="94"/>
    </row>
    <row r="558" spans="1:31" ht="31.5" x14ac:dyDescent="0.25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69" t="s">
        <v>345</v>
      </c>
      <c r="S558" s="85" t="s">
        <v>9</v>
      </c>
      <c r="T558" s="42">
        <v>0</v>
      </c>
      <c r="U558" s="42">
        <v>0</v>
      </c>
      <c r="V558" s="42">
        <v>0</v>
      </c>
      <c r="W558" s="42">
        <v>0</v>
      </c>
      <c r="X558" s="42">
        <v>0</v>
      </c>
      <c r="Y558" s="42">
        <v>50</v>
      </c>
      <c r="Z558" s="42">
        <v>50</v>
      </c>
      <c r="AA558" s="45">
        <v>100</v>
      </c>
      <c r="AB558" s="39">
        <v>2024</v>
      </c>
      <c r="AC558" s="33"/>
    </row>
    <row r="559" spans="1:31" ht="26.45" customHeight="1" x14ac:dyDescent="0.25">
      <c r="AB559" s="141" t="s">
        <v>58</v>
      </c>
    </row>
    <row r="560" spans="1:31" ht="52.9" customHeight="1" x14ac:dyDescent="0.25"/>
    <row r="561" spans="1:28" ht="40.15" customHeight="1" x14ac:dyDescent="0.25">
      <c r="A561" s="168" t="s">
        <v>361</v>
      </c>
      <c r="B561" s="168"/>
      <c r="C561" s="168"/>
      <c r="D561" s="168"/>
      <c r="E561" s="168"/>
      <c r="F561" s="168"/>
      <c r="G561" s="168"/>
      <c r="H561" s="168"/>
      <c r="I561" s="168"/>
      <c r="J561" s="168"/>
      <c r="K561" s="168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  <c r="X561" s="168"/>
      <c r="Y561" s="168"/>
      <c r="Z561" s="168"/>
      <c r="AA561" s="168"/>
      <c r="AB561" s="168"/>
    </row>
  </sheetData>
  <mergeCells count="89">
    <mergeCell ref="R295:R304"/>
    <mergeCell ref="S295:S304"/>
    <mergeCell ref="R338:R349"/>
    <mergeCell ref="S338:S349"/>
    <mergeCell ref="R265:R268"/>
    <mergeCell ref="R270:R274"/>
    <mergeCell ref="R276:R280"/>
    <mergeCell ref="R282:R286"/>
    <mergeCell ref="R289:R293"/>
    <mergeCell ref="R307:R311"/>
    <mergeCell ref="R313:R316"/>
    <mergeCell ref="R318:R321"/>
    <mergeCell ref="R323:R326"/>
    <mergeCell ref="R328:R331"/>
    <mergeCell ref="R333:R336"/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98:R200"/>
    <mergeCell ref="R205:R209"/>
    <mergeCell ref="R213:R217"/>
    <mergeCell ref="R74:R79"/>
    <mergeCell ref="R81:R84"/>
    <mergeCell ref="R68:R72"/>
    <mergeCell ref="R108:R110"/>
    <mergeCell ref="R148:R154"/>
    <mergeCell ref="R221:R225"/>
    <mergeCell ref="R229:R233"/>
    <mergeCell ref="R237:R240"/>
    <mergeCell ref="R260:R263"/>
    <mergeCell ref="R248:R256"/>
    <mergeCell ref="R352:R356"/>
    <mergeCell ref="R358:R363"/>
    <mergeCell ref="R365:R370"/>
    <mergeCell ref="R372:R377"/>
    <mergeCell ref="R379:R384"/>
    <mergeCell ref="R386:R391"/>
    <mergeCell ref="R393:R398"/>
    <mergeCell ref="R400:R405"/>
    <mergeCell ref="R407:R412"/>
    <mergeCell ref="R414:R418"/>
    <mergeCell ref="R420:R424"/>
    <mergeCell ref="R426:R431"/>
    <mergeCell ref="R433:R441"/>
    <mergeCell ref="R505:R506"/>
    <mergeCell ref="A561:AB561"/>
    <mergeCell ref="R508:R509"/>
    <mergeCell ref="R511:R512"/>
    <mergeCell ref="R514:R515"/>
    <mergeCell ref="R519:R521"/>
    <mergeCell ref="R542:R544"/>
    <mergeCell ref="S542:S544"/>
    <mergeCell ref="R550:R552"/>
    <mergeCell ref="S550:S552"/>
    <mergeCell ref="R502:R503"/>
    <mergeCell ref="R465:R467"/>
    <mergeCell ref="R448:R450"/>
    <mergeCell ref="S74:S79"/>
    <mergeCell ref="S81:S84"/>
    <mergeCell ref="S39:S43"/>
    <mergeCell ref="S465:S467"/>
    <mergeCell ref="S237:S240"/>
    <mergeCell ref="S229:S233"/>
    <mergeCell ref="S213:S217"/>
    <mergeCell ref="S221:S225"/>
    <mergeCell ref="S205:S209"/>
    <mergeCell ref="S433:S441"/>
    <mergeCell ref="S248:S256"/>
    <mergeCell ref="S448:S450"/>
    <mergeCell ref="S68:S72"/>
    <mergeCell ref="S108:S110"/>
    <mergeCell ref="S148:S154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2022-12-22T13:41:05Z</dcterms:modified>
</cp:coreProperties>
</file>